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spinoza\Desktop\EXCEL\"/>
    </mc:Choice>
  </mc:AlternateContent>
  <bookViews>
    <workbookView xWindow="0" yWindow="0" windowWidth="19170" windowHeight="7020" tabRatio="599"/>
  </bookViews>
  <sheets>
    <sheet name="Simulador" sheetId="1" r:id="rId1"/>
    <sheet name="Formulas" sheetId="3" state="hidden" r:id="rId2"/>
  </sheets>
  <definedNames>
    <definedName name="_xlnm.Print_Area" localSheetId="1">Formulas!$B$1:$J$56</definedName>
    <definedName name="_xlnm.Print_Area" localSheetId="0">Simulador!$B$5:$O$105</definedName>
    <definedName name="EnvioFisico">Simulador!$R$29:$R$30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17" i="1" s="1"/>
  <c r="E24" i="1"/>
  <c r="O8" i="1" l="1"/>
  <c r="G10" i="1" l="1"/>
  <c r="E15" i="1"/>
  <c r="E21" i="1"/>
  <c r="I106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C34" i="1" l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R105" i="1" l="1"/>
  <c r="R104" i="1"/>
  <c r="R103" i="1"/>
  <c r="R102" i="1"/>
  <c r="R101" i="1"/>
  <c r="R100" i="1"/>
  <c r="R99" i="1"/>
  <c r="R98" i="1"/>
  <c r="R97" i="1"/>
  <c r="R96" i="1"/>
  <c r="R95" i="1"/>
  <c r="R94" i="1"/>
  <c r="AD107" i="1" l="1"/>
  <c r="AE106" i="1"/>
  <c r="AE107" i="1" s="1"/>
  <c r="K35" i="1"/>
  <c r="N82" i="1" l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G16" i="1"/>
  <c r="Y33" i="1" l="1"/>
  <c r="Z33" i="1" s="1"/>
  <c r="AA33" i="1" s="1"/>
  <c r="Y34" i="1" l="1"/>
  <c r="Z34" i="1" s="1"/>
  <c r="AA34" i="1" l="1"/>
  <c r="AA35" i="1" l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K34" i="1"/>
  <c r="K36" i="1"/>
  <c r="K37" i="1"/>
  <c r="K38" i="1"/>
  <c r="K39" i="1"/>
  <c r="K40" i="1"/>
  <c r="K41" i="1"/>
  <c r="K42" i="1"/>
  <c r="K43" i="1"/>
  <c r="K44" i="1"/>
  <c r="K45" i="1"/>
  <c r="AA71" i="1" l="1"/>
  <c r="N9" i="1"/>
  <c r="R12" i="1"/>
  <c r="R13" i="1" s="1"/>
  <c r="R14" i="1" s="1"/>
  <c r="R15" i="1" s="1"/>
  <c r="R16" i="1" s="1"/>
  <c r="R17" i="1" s="1"/>
  <c r="R18" i="1" s="1"/>
  <c r="R19" i="1" s="1"/>
  <c r="R21" i="1" s="1"/>
  <c r="R22" i="1" s="1"/>
  <c r="R25" i="1" s="1"/>
  <c r="S17" i="1"/>
  <c r="S25" i="1"/>
  <c r="C33" i="1"/>
  <c r="D33" i="1"/>
  <c r="L33" i="1" s="1"/>
  <c r="K47" i="1"/>
  <c r="K49" i="1"/>
  <c r="K51" i="1"/>
  <c r="K53" i="1"/>
  <c r="K55" i="1"/>
  <c r="K57" i="1"/>
  <c r="K59" i="1"/>
  <c r="K61" i="1"/>
  <c r="K63" i="1"/>
  <c r="K65" i="1"/>
  <c r="K67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68" i="1"/>
  <c r="K64" i="1"/>
  <c r="K60" i="1"/>
  <c r="K56" i="1"/>
  <c r="K52" i="1"/>
  <c r="K48" i="1"/>
  <c r="K66" i="1"/>
  <c r="K62" i="1"/>
  <c r="K58" i="1"/>
  <c r="K54" i="1"/>
  <c r="K50" i="1"/>
  <c r="K46" i="1"/>
  <c r="K106" i="1" l="1"/>
  <c r="AE33" i="1"/>
  <c r="AD33" i="1"/>
  <c r="AD34" i="1"/>
  <c r="AE34" i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D35" i="1"/>
  <c r="Y35" i="1"/>
  <c r="Z35" i="1" s="1"/>
  <c r="AA72" i="1"/>
  <c r="G17" i="1"/>
  <c r="G18" i="1" s="1"/>
  <c r="P33" i="1"/>
  <c r="O34" i="1"/>
  <c r="E33" i="1"/>
  <c r="D34" i="1" s="1"/>
  <c r="K32" i="1"/>
  <c r="P34" i="1"/>
  <c r="C35" i="1" l="1"/>
  <c r="Y36" i="1" s="1"/>
  <c r="Z36" i="1" s="1"/>
  <c r="N34" i="1"/>
  <c r="V34" i="1"/>
  <c r="H34" i="1" s="1"/>
  <c r="AA73" i="1"/>
  <c r="N33" i="1"/>
  <c r="R34" i="1"/>
  <c r="AD36" i="1" l="1"/>
  <c r="C36" i="1" s="1"/>
  <c r="Y37" i="1" s="1"/>
  <c r="Z37" i="1" s="1"/>
  <c r="P35" i="1"/>
  <c r="N35" i="1" s="1"/>
  <c r="O35" i="1"/>
  <c r="AA74" i="1"/>
  <c r="AD37" i="1" l="1"/>
  <c r="P36" i="1"/>
  <c r="N36" i="1" s="1"/>
  <c r="O36" i="1"/>
  <c r="AA75" i="1"/>
  <c r="C37" i="1" l="1"/>
  <c r="AA76" i="1"/>
  <c r="O37" i="1" l="1"/>
  <c r="P37" i="1"/>
  <c r="N37" i="1" s="1"/>
  <c r="Y38" i="1"/>
  <c r="Z38" i="1" s="1"/>
  <c r="AD38" i="1"/>
  <c r="AA77" i="1"/>
  <c r="C38" i="1" l="1"/>
  <c r="AD39" i="1" s="1"/>
  <c r="AA78" i="1"/>
  <c r="C39" i="1" l="1"/>
  <c r="Y39" i="1"/>
  <c r="Z39" i="1" s="1"/>
  <c r="P38" i="1"/>
  <c r="N38" i="1" s="1"/>
  <c r="O38" i="1"/>
  <c r="AA79" i="1"/>
  <c r="P39" i="1" l="1"/>
  <c r="N39" i="1" s="1"/>
  <c r="Y40" i="1"/>
  <c r="Z40" i="1" s="1"/>
  <c r="O39" i="1"/>
  <c r="AD40" i="1"/>
  <c r="AA80" i="1"/>
  <c r="C40" i="1" l="1"/>
  <c r="AA81" i="1"/>
  <c r="P40" i="1" l="1"/>
  <c r="N40" i="1" s="1"/>
  <c r="Y41" i="1"/>
  <c r="Z41" i="1" s="1"/>
  <c r="O40" i="1"/>
  <c r="AD41" i="1"/>
  <c r="C41" i="1" l="1"/>
  <c r="P41" i="1" l="1"/>
  <c r="N41" i="1" s="1"/>
  <c r="Y42" i="1"/>
  <c r="Z42" i="1" s="1"/>
  <c r="O41" i="1"/>
  <c r="AD42" i="1"/>
  <c r="C42" i="1" l="1"/>
  <c r="P82" i="1"/>
  <c r="O82" i="1"/>
  <c r="Y43" i="1" l="1"/>
  <c r="Z43" i="1" s="1"/>
  <c r="P42" i="1"/>
  <c r="N42" i="1" s="1"/>
  <c r="O42" i="1"/>
  <c r="AD43" i="1"/>
  <c r="O83" i="1"/>
  <c r="P83" i="1"/>
  <c r="C43" i="1" l="1"/>
  <c r="P84" i="1"/>
  <c r="O84" i="1"/>
  <c r="P43" i="1" l="1"/>
  <c r="N43" i="1" s="1"/>
  <c r="O43" i="1"/>
  <c r="Y44" i="1"/>
  <c r="Z44" i="1" s="1"/>
  <c r="AD44" i="1"/>
  <c r="O85" i="1"/>
  <c r="P85" i="1"/>
  <c r="C44" i="1" l="1"/>
  <c r="O86" i="1"/>
  <c r="P86" i="1"/>
  <c r="O44" i="1" l="1"/>
  <c r="P44" i="1"/>
  <c r="N44" i="1" s="1"/>
  <c r="Y45" i="1"/>
  <c r="Z45" i="1" s="1"/>
  <c r="AD45" i="1"/>
  <c r="P87" i="1"/>
  <c r="O87" i="1"/>
  <c r="C45" i="1" l="1"/>
  <c r="AD46" i="1" s="1"/>
  <c r="P88" i="1"/>
  <c r="O88" i="1"/>
  <c r="C46" i="1" l="1"/>
  <c r="P45" i="1"/>
  <c r="N45" i="1" s="1"/>
  <c r="Y46" i="1"/>
  <c r="Z46" i="1" s="1"/>
  <c r="O45" i="1"/>
  <c r="P89" i="1"/>
  <c r="O89" i="1"/>
  <c r="O46" i="1" l="1"/>
  <c r="Y47" i="1"/>
  <c r="Z47" i="1" s="1"/>
  <c r="P46" i="1"/>
  <c r="N46" i="1" s="1"/>
  <c r="AD47" i="1"/>
  <c r="O90" i="1"/>
  <c r="P90" i="1"/>
  <c r="C47" i="1" l="1"/>
  <c r="O91" i="1"/>
  <c r="P91" i="1"/>
  <c r="P47" i="1" l="1"/>
  <c r="N47" i="1" s="1"/>
  <c r="O47" i="1"/>
  <c r="Y48" i="1"/>
  <c r="Z48" i="1" s="1"/>
  <c r="AD48" i="1"/>
  <c r="P92" i="1"/>
  <c r="O92" i="1"/>
  <c r="C48" i="1" l="1"/>
  <c r="AD49" i="1" s="1"/>
  <c r="O93" i="1"/>
  <c r="P93" i="1"/>
  <c r="C49" i="1" l="1"/>
  <c r="P48" i="1"/>
  <c r="N48" i="1" s="1"/>
  <c r="Y49" i="1"/>
  <c r="Z49" i="1" s="1"/>
  <c r="O48" i="1"/>
  <c r="P94" i="1"/>
  <c r="O94" i="1"/>
  <c r="Y50" i="1" l="1"/>
  <c r="Z50" i="1" s="1"/>
  <c r="P49" i="1"/>
  <c r="N49" i="1" s="1"/>
  <c r="O49" i="1"/>
  <c r="AD50" i="1"/>
  <c r="O95" i="1"/>
  <c r="P95" i="1"/>
  <c r="C50" i="1" l="1"/>
  <c r="AD51" i="1" s="1"/>
  <c r="P96" i="1"/>
  <c r="O96" i="1"/>
  <c r="C51" i="1" l="1"/>
  <c r="P50" i="1"/>
  <c r="N50" i="1" s="1"/>
  <c r="O50" i="1"/>
  <c r="Y51" i="1"/>
  <c r="Z51" i="1" s="1"/>
  <c r="P97" i="1"/>
  <c r="O97" i="1"/>
  <c r="P51" i="1" l="1"/>
  <c r="N51" i="1" s="1"/>
  <c r="Y52" i="1"/>
  <c r="Z52" i="1" s="1"/>
  <c r="O51" i="1"/>
  <c r="AD52" i="1"/>
  <c r="O98" i="1"/>
  <c r="P98" i="1"/>
  <c r="C52" i="1" l="1"/>
  <c r="O99" i="1"/>
  <c r="P99" i="1"/>
  <c r="O52" i="1" l="1"/>
  <c r="P52" i="1"/>
  <c r="N52" i="1" s="1"/>
  <c r="Y53" i="1"/>
  <c r="Z53" i="1" s="1"/>
  <c r="AD53" i="1"/>
  <c r="P100" i="1"/>
  <c r="O100" i="1"/>
  <c r="C53" i="1" l="1"/>
  <c r="P101" i="1"/>
  <c r="O101" i="1"/>
  <c r="Y54" i="1" l="1"/>
  <c r="Z54" i="1" s="1"/>
  <c r="P53" i="1"/>
  <c r="N53" i="1" s="1"/>
  <c r="O53" i="1"/>
  <c r="AD54" i="1"/>
  <c r="P102" i="1"/>
  <c r="O102" i="1"/>
  <c r="C54" i="1" l="1"/>
  <c r="O103" i="1"/>
  <c r="P103" i="1"/>
  <c r="P54" i="1" l="1"/>
  <c r="N54" i="1" s="1"/>
  <c r="O54" i="1"/>
  <c r="Y55" i="1"/>
  <c r="Z55" i="1" s="1"/>
  <c r="AD55" i="1"/>
  <c r="AD106" i="1"/>
  <c r="O104" i="1"/>
  <c r="P104" i="1"/>
  <c r="C55" i="1" l="1"/>
  <c r="O105" i="1"/>
  <c r="P105" i="1"/>
  <c r="P55" i="1" l="1"/>
  <c r="N55" i="1" s="1"/>
  <c r="O55" i="1"/>
  <c r="Y56" i="1"/>
  <c r="Z56" i="1" s="1"/>
  <c r="AD56" i="1"/>
  <c r="C56" i="1" l="1"/>
  <c r="O56" i="1" l="1"/>
  <c r="Y57" i="1"/>
  <c r="Z57" i="1" s="1"/>
  <c r="P56" i="1"/>
  <c r="N56" i="1" s="1"/>
  <c r="AD57" i="1"/>
  <c r="C57" i="1" l="1"/>
  <c r="O57" i="1" l="1"/>
  <c r="Y58" i="1"/>
  <c r="Z58" i="1" s="1"/>
  <c r="P57" i="1"/>
  <c r="N57" i="1" s="1"/>
  <c r="AD58" i="1"/>
  <c r="C58" i="1" l="1"/>
  <c r="Y59" i="1" l="1"/>
  <c r="Z59" i="1" s="1"/>
  <c r="P58" i="1"/>
  <c r="N58" i="1" s="1"/>
  <c r="O58" i="1"/>
  <c r="AD59" i="1"/>
  <c r="C59" i="1" l="1"/>
  <c r="P59" i="1" l="1"/>
  <c r="N59" i="1" s="1"/>
  <c r="Y60" i="1"/>
  <c r="Z60" i="1" s="1"/>
  <c r="O59" i="1"/>
  <c r="AD60" i="1"/>
  <c r="C60" i="1" l="1"/>
  <c r="O60" i="1" l="1"/>
  <c r="Y61" i="1"/>
  <c r="Z61" i="1" s="1"/>
  <c r="P60" i="1"/>
  <c r="N60" i="1" s="1"/>
  <c r="AD61" i="1"/>
  <c r="C61" i="1" l="1"/>
  <c r="O61" i="1" l="1"/>
  <c r="P61" i="1"/>
  <c r="N61" i="1" s="1"/>
  <c r="Y62" i="1"/>
  <c r="Z62" i="1" s="1"/>
  <c r="AD62" i="1"/>
  <c r="C62" i="1" l="1"/>
  <c r="O62" i="1" l="1"/>
  <c r="Y63" i="1"/>
  <c r="Z63" i="1" s="1"/>
  <c r="P62" i="1"/>
  <c r="N62" i="1" s="1"/>
  <c r="AD63" i="1"/>
  <c r="C63" i="1" l="1"/>
  <c r="Y64" i="1" l="1"/>
  <c r="Z64" i="1" s="1"/>
  <c r="O63" i="1"/>
  <c r="P63" i="1"/>
  <c r="N63" i="1" s="1"/>
  <c r="AD64" i="1"/>
  <c r="C64" i="1" l="1"/>
  <c r="Y65" i="1" l="1"/>
  <c r="Z65" i="1" s="1"/>
  <c r="P64" i="1"/>
  <c r="N64" i="1" s="1"/>
  <c r="O64" i="1"/>
  <c r="AD65" i="1"/>
  <c r="C65" i="1" l="1"/>
  <c r="Y66" i="1" l="1"/>
  <c r="Z66" i="1" s="1"/>
  <c r="P65" i="1"/>
  <c r="N65" i="1" s="1"/>
  <c r="O65" i="1"/>
  <c r="AD66" i="1"/>
  <c r="C66" i="1" l="1"/>
  <c r="Y67" i="1" l="1"/>
  <c r="Z67" i="1" s="1"/>
  <c r="P66" i="1"/>
  <c r="N66" i="1" s="1"/>
  <c r="O66" i="1"/>
  <c r="AD67" i="1"/>
  <c r="C67" i="1" l="1"/>
  <c r="O67" i="1" l="1"/>
  <c r="Y68" i="1"/>
  <c r="Z68" i="1" s="1"/>
  <c r="P67" i="1"/>
  <c r="N67" i="1" s="1"/>
  <c r="AD68" i="1"/>
  <c r="C68" i="1" l="1"/>
  <c r="Y69" i="1" l="1"/>
  <c r="Z69" i="1" s="1"/>
  <c r="O68" i="1"/>
  <c r="P68" i="1"/>
  <c r="N68" i="1" s="1"/>
  <c r="AD69" i="1"/>
  <c r="C69" i="1" l="1"/>
  <c r="Y70" i="1" l="1"/>
  <c r="Z70" i="1" s="1"/>
  <c r="P69" i="1"/>
  <c r="N69" i="1" s="1"/>
  <c r="O69" i="1"/>
  <c r="AD70" i="1"/>
  <c r="C70" i="1" l="1"/>
  <c r="Y71" i="1" l="1"/>
  <c r="Z71" i="1" s="1"/>
  <c r="O70" i="1"/>
  <c r="P70" i="1"/>
  <c r="N70" i="1" s="1"/>
  <c r="AD71" i="1"/>
  <c r="C71" i="1" l="1"/>
  <c r="Y72" i="1" l="1"/>
  <c r="Z72" i="1" s="1"/>
  <c r="P71" i="1"/>
  <c r="N71" i="1" s="1"/>
  <c r="O71" i="1"/>
  <c r="AD72" i="1"/>
  <c r="C72" i="1" l="1"/>
  <c r="P72" i="1" l="1"/>
  <c r="N72" i="1" s="1"/>
  <c r="O72" i="1"/>
  <c r="Y73" i="1"/>
  <c r="Z73" i="1" s="1"/>
  <c r="AD73" i="1"/>
  <c r="C73" i="1" l="1"/>
  <c r="P73" i="1" l="1"/>
  <c r="N73" i="1" s="1"/>
  <c r="O73" i="1"/>
  <c r="Y74" i="1"/>
  <c r="Z74" i="1" s="1"/>
  <c r="AD74" i="1"/>
  <c r="C74" i="1" l="1"/>
  <c r="O74" i="1" l="1"/>
  <c r="Y75" i="1"/>
  <c r="Z75" i="1" s="1"/>
  <c r="P74" i="1"/>
  <c r="N74" i="1" s="1"/>
  <c r="AD75" i="1"/>
  <c r="C75" i="1" l="1"/>
  <c r="P75" i="1" l="1"/>
  <c r="N75" i="1" s="1"/>
  <c r="Y76" i="1"/>
  <c r="Z76" i="1" s="1"/>
  <c r="O75" i="1"/>
  <c r="AD76" i="1"/>
  <c r="C76" i="1" l="1"/>
  <c r="Y77" i="1" l="1"/>
  <c r="Z77" i="1" s="1"/>
  <c r="O76" i="1"/>
  <c r="P76" i="1"/>
  <c r="N76" i="1" s="1"/>
  <c r="AD77" i="1"/>
  <c r="C77" i="1" l="1"/>
  <c r="Y78" i="1" l="1"/>
  <c r="Z78" i="1" s="1"/>
  <c r="P77" i="1"/>
  <c r="N77" i="1" s="1"/>
  <c r="O77" i="1"/>
  <c r="AD78" i="1"/>
  <c r="C78" i="1" l="1"/>
  <c r="Y79" i="1" l="1"/>
  <c r="Z79" i="1" s="1"/>
  <c r="O78" i="1"/>
  <c r="P78" i="1"/>
  <c r="N78" i="1" s="1"/>
  <c r="AD79" i="1"/>
  <c r="C79" i="1" l="1"/>
  <c r="O79" i="1" l="1"/>
  <c r="P79" i="1"/>
  <c r="N79" i="1" s="1"/>
  <c r="Y80" i="1"/>
  <c r="Z80" i="1" s="1"/>
  <c r="AD80" i="1"/>
  <c r="C80" i="1" l="1"/>
  <c r="O80" i="1" l="1"/>
  <c r="Y81" i="1"/>
  <c r="Z81" i="1" s="1"/>
  <c r="P80" i="1"/>
  <c r="N80" i="1" s="1"/>
  <c r="AD81" i="1"/>
  <c r="C81" i="1" s="1"/>
  <c r="O81" i="1" l="1"/>
  <c r="P81" i="1"/>
  <c r="N81" i="1" s="1"/>
  <c r="E19" i="1" s="1"/>
  <c r="E22" i="1" l="1"/>
  <c r="G34" i="1"/>
  <c r="S34" i="1" l="1"/>
  <c r="F34" i="1"/>
  <c r="E34" i="1" l="1"/>
  <c r="J34" i="1"/>
  <c r="L34" i="1" l="1"/>
  <c r="D35" i="1"/>
  <c r="R35" i="1" l="1"/>
  <c r="V35" i="1"/>
  <c r="H35" i="1" s="1"/>
  <c r="G35" i="1" l="1"/>
  <c r="S35" i="1" l="1"/>
  <c r="F35" i="1"/>
  <c r="E35" i="1" l="1"/>
  <c r="J35" i="1"/>
  <c r="D36" i="1" l="1"/>
  <c r="L35" i="1"/>
  <c r="V36" i="1" l="1"/>
  <c r="H36" i="1" s="1"/>
  <c r="R36" i="1"/>
  <c r="G36" i="1" l="1"/>
  <c r="S36" i="1" s="1"/>
  <c r="F36" i="1" l="1"/>
  <c r="J36" i="1" s="1"/>
  <c r="L36" i="1" l="1"/>
  <c r="E36" i="1"/>
  <c r="D37" i="1" l="1"/>
  <c r="V37" i="1" l="1"/>
  <c r="H37" i="1" s="1"/>
  <c r="R37" i="1"/>
  <c r="G37" i="1" l="1"/>
  <c r="S37" i="1" l="1"/>
  <c r="F37" i="1"/>
  <c r="J37" i="1" s="1"/>
  <c r="L37" i="1" l="1"/>
  <c r="E37" i="1"/>
  <c r="D38" i="1" l="1"/>
  <c r="V38" i="1" l="1"/>
  <c r="H38" i="1" s="1"/>
  <c r="R38" i="1"/>
  <c r="G38" i="1" l="1"/>
  <c r="S38" i="1" s="1"/>
  <c r="F38" i="1" l="1"/>
  <c r="J38" i="1" s="1"/>
  <c r="L38" i="1" l="1"/>
  <c r="E38" i="1"/>
  <c r="D39" i="1" l="1"/>
  <c r="R39" i="1" l="1"/>
  <c r="V39" i="1"/>
  <c r="H39" i="1" s="1"/>
  <c r="G39" i="1" l="1"/>
  <c r="S39" i="1" s="1"/>
  <c r="F39" i="1" l="1"/>
  <c r="E39" i="1" s="1"/>
  <c r="D40" i="1" s="1"/>
  <c r="V40" i="1" s="1"/>
  <c r="H40" i="1" s="1"/>
  <c r="R40" i="1" l="1"/>
  <c r="G40" i="1" s="1"/>
  <c r="J39" i="1"/>
  <c r="L39" i="1" s="1"/>
  <c r="S40" i="1" l="1"/>
  <c r="F40" i="1"/>
  <c r="E40" i="1" s="1"/>
  <c r="D41" i="1" s="1"/>
  <c r="J40" i="1" l="1"/>
  <c r="L40" i="1" s="1"/>
  <c r="V41" i="1"/>
  <c r="H41" i="1" s="1"/>
  <c r="R41" i="1"/>
  <c r="G41" i="1" l="1"/>
  <c r="S41" i="1" l="1"/>
  <c r="F41" i="1"/>
  <c r="E41" i="1" s="1"/>
  <c r="D42" i="1" s="1"/>
  <c r="J41" i="1" l="1"/>
  <c r="L41" i="1" s="1"/>
  <c r="V42" i="1"/>
  <c r="H42" i="1" s="1"/>
  <c r="R42" i="1"/>
  <c r="G42" i="1" l="1"/>
  <c r="S42" i="1" s="1"/>
  <c r="F42" i="1" l="1"/>
  <c r="E42" i="1" s="1"/>
  <c r="D43" i="1" s="1"/>
  <c r="R43" i="1" s="1"/>
  <c r="V43" i="1" l="1"/>
  <c r="H43" i="1" s="1"/>
  <c r="G43" i="1" s="1"/>
  <c r="S43" i="1" s="1"/>
  <c r="J42" i="1"/>
  <c r="L42" i="1" s="1"/>
  <c r="F43" i="1" l="1"/>
  <c r="E43" i="1" s="1"/>
  <c r="D44" i="1" s="1"/>
  <c r="V44" i="1" s="1"/>
  <c r="H44" i="1" s="1"/>
  <c r="J43" i="1" l="1"/>
  <c r="L43" i="1" s="1"/>
  <c r="R44" i="1"/>
  <c r="G44" i="1" s="1"/>
  <c r="S44" i="1" l="1"/>
  <c r="F44" i="1"/>
  <c r="E44" i="1" s="1"/>
  <c r="D45" i="1" s="1"/>
  <c r="R45" i="1" l="1"/>
  <c r="V45" i="1"/>
  <c r="H45" i="1" s="1"/>
  <c r="J44" i="1"/>
  <c r="L44" i="1" s="1"/>
  <c r="G45" i="1" l="1"/>
  <c r="F45" i="1" l="1"/>
  <c r="E45" i="1" s="1"/>
  <c r="D46" i="1" s="1"/>
  <c r="S45" i="1"/>
  <c r="V46" i="1" l="1"/>
  <c r="H46" i="1" s="1"/>
  <c r="R46" i="1"/>
  <c r="J45" i="1"/>
  <c r="L45" i="1" s="1"/>
  <c r="G46" i="1" l="1"/>
  <c r="S46" i="1" s="1"/>
  <c r="F46" i="1" l="1"/>
  <c r="E46" i="1" s="1"/>
  <c r="D47" i="1" s="1"/>
  <c r="R47" i="1" s="1"/>
  <c r="V47" i="1" l="1"/>
  <c r="H47" i="1" s="1"/>
  <c r="G47" i="1" s="1"/>
  <c r="F47" i="1" s="1"/>
  <c r="E47" i="1" s="1"/>
  <c r="D48" i="1" s="1"/>
  <c r="V48" i="1" s="1"/>
  <c r="H48" i="1" s="1"/>
  <c r="J46" i="1"/>
  <c r="L46" i="1" s="1"/>
  <c r="J47" i="1" l="1"/>
  <c r="L47" i="1" s="1"/>
  <c r="S47" i="1"/>
  <c r="R48" i="1" s="1"/>
  <c r="G48" i="1" s="1"/>
  <c r="S48" i="1" l="1"/>
  <c r="F48" i="1"/>
  <c r="E48" i="1" s="1"/>
  <c r="D49" i="1" s="1"/>
  <c r="J48" i="1" l="1"/>
  <c r="L48" i="1" s="1"/>
  <c r="V49" i="1"/>
  <c r="H49" i="1" s="1"/>
  <c r="R49" i="1"/>
  <c r="G49" i="1" l="1"/>
  <c r="F49" i="1" s="1"/>
  <c r="E49" i="1" s="1"/>
  <c r="D50" i="1" s="1"/>
  <c r="V50" i="1" s="1"/>
  <c r="H50" i="1" s="1"/>
  <c r="J49" i="1" l="1"/>
  <c r="L49" i="1" s="1"/>
  <c r="S49" i="1"/>
  <c r="R50" i="1" s="1"/>
  <c r="G50" i="1" s="1"/>
  <c r="S50" i="1" l="1"/>
  <c r="F50" i="1"/>
  <c r="E50" i="1" s="1"/>
  <c r="D51" i="1" s="1"/>
  <c r="R51" i="1" l="1"/>
  <c r="V51" i="1"/>
  <c r="H51" i="1" s="1"/>
  <c r="J50" i="1"/>
  <c r="L50" i="1" s="1"/>
  <c r="G51" i="1" l="1"/>
  <c r="S51" i="1" s="1"/>
  <c r="F51" i="1" l="1"/>
  <c r="E51" i="1" s="1"/>
  <c r="D52" i="1" s="1"/>
  <c r="V52" i="1" s="1"/>
  <c r="H52" i="1" s="1"/>
  <c r="J51" i="1" l="1"/>
  <c r="L51" i="1" s="1"/>
  <c r="R52" i="1"/>
  <c r="G52" i="1" s="1"/>
  <c r="S52" i="1" l="1"/>
  <c r="F52" i="1"/>
  <c r="E52" i="1" s="1"/>
  <c r="D53" i="1" s="1"/>
  <c r="V53" i="1" l="1"/>
  <c r="H53" i="1" s="1"/>
  <c r="R53" i="1"/>
  <c r="J52" i="1"/>
  <c r="L52" i="1" s="1"/>
  <c r="G53" i="1" l="1"/>
  <c r="S53" i="1" s="1"/>
  <c r="F53" i="1" l="1"/>
  <c r="E53" i="1" s="1"/>
  <c r="D54" i="1" s="1"/>
  <c r="R54" i="1" s="1"/>
  <c r="J53" i="1" l="1"/>
  <c r="L53" i="1" s="1"/>
  <c r="V54" i="1"/>
  <c r="H54" i="1" s="1"/>
  <c r="G54" i="1" s="1"/>
  <c r="S54" i="1" s="1"/>
  <c r="F54" i="1" l="1"/>
  <c r="E54" i="1" s="1"/>
  <c r="D55" i="1" s="1"/>
  <c r="V55" i="1" s="1"/>
  <c r="H55" i="1" s="1"/>
  <c r="J54" i="1" l="1"/>
  <c r="L54" i="1" s="1"/>
  <c r="R55" i="1"/>
  <c r="G55" i="1" s="1"/>
  <c r="S55" i="1" s="1"/>
  <c r="F55" i="1" l="1"/>
  <c r="E55" i="1" s="1"/>
  <c r="D56" i="1" s="1"/>
  <c r="R56" i="1" s="1"/>
  <c r="J55" i="1" l="1"/>
  <c r="L55" i="1" s="1"/>
  <c r="V56" i="1"/>
  <c r="H56" i="1" s="1"/>
  <c r="G56" i="1" s="1"/>
  <c r="S56" i="1" s="1"/>
  <c r="F56" i="1" l="1"/>
  <c r="E56" i="1" s="1"/>
  <c r="D57" i="1" s="1"/>
  <c r="R57" i="1" s="1"/>
  <c r="V57" i="1" l="1"/>
  <c r="H57" i="1" s="1"/>
  <c r="G57" i="1" s="1"/>
  <c r="S57" i="1" s="1"/>
  <c r="J56" i="1"/>
  <c r="L56" i="1" s="1"/>
  <c r="F57" i="1" l="1"/>
  <c r="E57" i="1" s="1"/>
  <c r="D58" i="1" s="1"/>
  <c r="R58" i="1" s="1"/>
  <c r="V58" i="1" l="1"/>
  <c r="H58" i="1" s="1"/>
  <c r="G58" i="1" s="1"/>
  <c r="S58" i="1" s="1"/>
  <c r="J57" i="1"/>
  <c r="L57" i="1" s="1"/>
  <c r="F58" i="1" l="1"/>
  <c r="E58" i="1" s="1"/>
  <c r="D59" i="1" s="1"/>
  <c r="J58" i="1" l="1"/>
  <c r="L58" i="1" s="1"/>
  <c r="R59" i="1"/>
  <c r="V59" i="1"/>
  <c r="H59" i="1" l="1"/>
  <c r="G59" i="1" s="1"/>
  <c r="S59" i="1" s="1"/>
  <c r="F59" i="1" l="1"/>
  <c r="E59" i="1" s="1"/>
  <c r="D60" i="1" s="1"/>
  <c r="J59" i="1" l="1"/>
  <c r="L59" i="1" s="1"/>
  <c r="R60" i="1"/>
  <c r="V60" i="1"/>
  <c r="H60" i="1" l="1"/>
  <c r="G60" i="1" s="1"/>
  <c r="S60" i="1" s="1"/>
  <c r="F60" i="1" l="1"/>
  <c r="E60" i="1" s="1"/>
  <c r="D61" i="1" s="1"/>
  <c r="J60" i="1" l="1"/>
  <c r="L60" i="1" s="1"/>
  <c r="R61" i="1"/>
  <c r="V61" i="1"/>
  <c r="H61" i="1" l="1"/>
  <c r="G61" i="1" s="1"/>
  <c r="S61" i="1" s="1"/>
  <c r="F61" i="1" l="1"/>
  <c r="E61" i="1" s="1"/>
  <c r="D62" i="1" s="1"/>
  <c r="J61" i="1" l="1"/>
  <c r="L61" i="1" s="1"/>
  <c r="R62" i="1"/>
  <c r="V62" i="1"/>
  <c r="H62" i="1" l="1"/>
  <c r="G62" i="1" s="1"/>
  <c r="S62" i="1" s="1"/>
  <c r="F62" i="1" l="1"/>
  <c r="E62" i="1" s="1"/>
  <c r="D63" i="1" s="1"/>
  <c r="J62" i="1" l="1"/>
  <c r="L62" i="1" s="1"/>
  <c r="R63" i="1"/>
  <c r="V63" i="1"/>
  <c r="H63" i="1" s="1"/>
  <c r="G63" i="1" l="1"/>
  <c r="S63" i="1" s="1"/>
  <c r="F63" i="1" l="1"/>
  <c r="E63" i="1" s="1"/>
  <c r="D64" i="1" s="1"/>
  <c r="V64" i="1" s="1"/>
  <c r="H64" i="1" s="1"/>
  <c r="G94" i="1"/>
  <c r="S94" i="1" s="1"/>
  <c r="R64" i="1" l="1"/>
  <c r="G64" i="1" s="1"/>
  <c r="S64" i="1" s="1"/>
  <c r="J63" i="1"/>
  <c r="L63" i="1" s="1"/>
  <c r="F64" i="1" l="1"/>
  <c r="E64" i="1" s="1"/>
  <c r="D65" i="1" s="1"/>
  <c r="V65" i="1" s="1"/>
  <c r="H65" i="1" s="1"/>
  <c r="G95" i="1"/>
  <c r="S95" i="1" s="1"/>
  <c r="R65" i="1" l="1"/>
  <c r="G65" i="1" s="1"/>
  <c r="S65" i="1" s="1"/>
  <c r="J64" i="1"/>
  <c r="L64" i="1" s="1"/>
  <c r="G96" i="1"/>
  <c r="S96" i="1" s="1"/>
  <c r="F65" i="1" l="1"/>
  <c r="E65" i="1" s="1"/>
  <c r="D66" i="1" s="1"/>
  <c r="J65" i="1" l="1"/>
  <c r="L65" i="1" s="1"/>
  <c r="R66" i="1"/>
  <c r="V66" i="1"/>
  <c r="H66" i="1" s="1"/>
  <c r="G97" i="1"/>
  <c r="S97" i="1" s="1"/>
  <c r="G66" i="1" l="1"/>
  <c r="S66" i="1" s="1"/>
  <c r="G98" i="1"/>
  <c r="S98" i="1" s="1"/>
  <c r="F66" i="1" l="1"/>
  <c r="E66" i="1" s="1"/>
  <c r="D67" i="1" s="1"/>
  <c r="J66" i="1" l="1"/>
  <c r="L66" i="1" s="1"/>
  <c r="V67" i="1"/>
  <c r="R67" i="1"/>
  <c r="G99" i="1"/>
  <c r="S99" i="1" s="1"/>
  <c r="H67" i="1" l="1"/>
  <c r="G100" i="1" l="1"/>
  <c r="S100" i="1" s="1"/>
  <c r="G67" i="1" l="1"/>
  <c r="S67" i="1" s="1"/>
  <c r="F67" i="1" l="1"/>
  <c r="E67" i="1" s="1"/>
  <c r="D68" i="1" s="1"/>
  <c r="G101" i="1"/>
  <c r="S101" i="1" s="1"/>
  <c r="J67" i="1" l="1"/>
  <c r="L67" i="1" s="1"/>
  <c r="R68" i="1"/>
  <c r="V68" i="1"/>
  <c r="H68" i="1" l="1"/>
  <c r="G102" i="1"/>
  <c r="S102" i="1" s="1"/>
  <c r="G68" i="1" l="1"/>
  <c r="S68" i="1" s="1"/>
  <c r="G103" i="1"/>
  <c r="S103" i="1" s="1"/>
  <c r="F68" i="1" l="1"/>
  <c r="E68" i="1" s="1"/>
  <c r="D69" i="1" s="1"/>
  <c r="J68" i="1" l="1"/>
  <c r="L68" i="1" s="1"/>
  <c r="V69" i="1"/>
  <c r="R69" i="1"/>
  <c r="G104" i="1"/>
  <c r="S104" i="1" s="1"/>
  <c r="H69" i="1" l="1"/>
  <c r="G105" i="1" l="1"/>
  <c r="S105" i="1" s="1"/>
  <c r="G69" i="1" l="1"/>
  <c r="F69" i="1" s="1"/>
  <c r="E69" i="1" s="1"/>
  <c r="D70" i="1" s="1"/>
  <c r="I32" i="1"/>
  <c r="V70" i="1" l="1"/>
  <c r="H70" i="1" s="1"/>
  <c r="S69" i="1"/>
  <c r="R70" i="1" s="1"/>
  <c r="J69" i="1"/>
  <c r="L69" i="1" s="1"/>
  <c r="G70" i="1" l="1"/>
  <c r="S70" i="1" l="1"/>
  <c r="F70" i="1"/>
  <c r="J70" i="1" l="1"/>
  <c r="L70" i="1" s="1"/>
  <c r="E70" i="1"/>
  <c r="D71" i="1" s="1"/>
  <c r="R71" i="1" l="1"/>
  <c r="V71" i="1"/>
  <c r="H71" i="1" s="1"/>
  <c r="G71" i="1" l="1"/>
  <c r="S71" i="1" l="1"/>
  <c r="F71" i="1"/>
  <c r="J71" i="1" l="1"/>
  <c r="L71" i="1" s="1"/>
  <c r="E71" i="1"/>
  <c r="D72" i="1" s="1"/>
  <c r="R72" i="1" l="1"/>
  <c r="V72" i="1"/>
  <c r="H72" i="1" s="1"/>
  <c r="G72" i="1" l="1"/>
  <c r="S72" i="1" l="1"/>
  <c r="F72" i="1"/>
  <c r="J72" i="1" l="1"/>
  <c r="L72" i="1" s="1"/>
  <c r="E72" i="1"/>
  <c r="D73" i="1" s="1"/>
  <c r="R73" i="1" l="1"/>
  <c r="V73" i="1"/>
  <c r="H73" i="1" s="1"/>
  <c r="G73" i="1" l="1"/>
  <c r="S73" i="1" l="1"/>
  <c r="F73" i="1"/>
  <c r="J73" i="1" l="1"/>
  <c r="L73" i="1" s="1"/>
  <c r="E73" i="1"/>
  <c r="D74" i="1" s="1"/>
  <c r="R74" i="1" l="1"/>
  <c r="V74" i="1"/>
  <c r="H74" i="1" s="1"/>
  <c r="G74" i="1" l="1"/>
  <c r="S74" i="1" s="1"/>
  <c r="F74" i="1" l="1"/>
  <c r="J74" i="1" s="1"/>
  <c r="L74" i="1" s="1"/>
  <c r="E74" i="1" l="1"/>
  <c r="D75" i="1" s="1"/>
  <c r="R75" i="1"/>
  <c r="V75" i="1"/>
  <c r="H75" i="1" s="1"/>
  <c r="G75" i="1" l="1"/>
  <c r="S75" i="1" s="1"/>
  <c r="F75" i="1" l="1"/>
  <c r="J75" i="1" s="1"/>
  <c r="L75" i="1" s="1"/>
  <c r="E75" i="1" l="1"/>
  <c r="D76" i="1" s="1"/>
  <c r="R76" i="1"/>
  <c r="V76" i="1"/>
  <c r="H76" i="1" s="1"/>
  <c r="G76" i="1" l="1"/>
  <c r="S76" i="1" s="1"/>
  <c r="F76" i="1" l="1"/>
  <c r="J76" i="1" s="1"/>
  <c r="L76" i="1" s="1"/>
  <c r="E76" i="1" l="1"/>
  <c r="D77" i="1" s="1"/>
  <c r="R77" i="1"/>
  <c r="V77" i="1"/>
  <c r="H77" i="1" s="1"/>
  <c r="G77" i="1" l="1"/>
  <c r="S77" i="1" s="1"/>
  <c r="F77" i="1" l="1"/>
  <c r="J77" i="1" s="1"/>
  <c r="L77" i="1" s="1"/>
  <c r="E77" i="1" l="1"/>
  <c r="D78" i="1" s="1"/>
  <c r="R78" i="1"/>
  <c r="V78" i="1"/>
  <c r="H78" i="1" s="1"/>
  <c r="G78" i="1" s="1"/>
  <c r="S78" i="1" l="1"/>
  <c r="F78" i="1"/>
  <c r="J78" i="1" l="1"/>
  <c r="L78" i="1" s="1"/>
  <c r="E78" i="1"/>
  <c r="D79" i="1" s="1"/>
  <c r="R79" i="1" l="1"/>
  <c r="V79" i="1"/>
  <c r="H79" i="1" s="1"/>
  <c r="G79" i="1" l="1"/>
  <c r="S79" i="1" s="1"/>
  <c r="F79" i="1" l="1"/>
  <c r="J79" i="1" s="1"/>
  <c r="L79" i="1" s="1"/>
  <c r="E79" i="1" l="1"/>
  <c r="D80" i="1" s="1"/>
  <c r="R80" i="1"/>
  <c r="V80" i="1"/>
  <c r="H80" i="1" s="1"/>
  <c r="G80" i="1" l="1"/>
  <c r="S80" i="1" s="1"/>
  <c r="F80" i="1" l="1"/>
  <c r="J80" i="1" s="1"/>
  <c r="L80" i="1" s="1"/>
  <c r="E80" i="1" l="1"/>
  <c r="D81" i="1" s="1"/>
  <c r="D106" i="1" s="1"/>
  <c r="V81" i="1" l="1"/>
  <c r="H81" i="1" s="1"/>
  <c r="H106" i="1" s="1"/>
  <c r="R81" i="1"/>
  <c r="H32" i="1" l="1"/>
  <c r="G81" i="1"/>
  <c r="G106" i="1" s="1"/>
  <c r="F81" i="1"/>
  <c r="S81" i="1" l="1"/>
  <c r="E81" i="1"/>
  <c r="F106" i="1"/>
  <c r="R82" i="1"/>
  <c r="G82" i="1" s="1"/>
  <c r="J81" i="1"/>
  <c r="L81" i="1" l="1"/>
  <c r="J106" i="1"/>
  <c r="D82" i="1"/>
  <c r="F82" i="1" s="1"/>
  <c r="E106" i="1"/>
  <c r="S82" i="1"/>
  <c r="F28" i="1" l="1"/>
  <c r="E28" i="1" s="1"/>
  <c r="L106" i="1"/>
  <c r="J82" i="1"/>
  <c r="L82" i="1" s="1"/>
  <c r="E82" i="1"/>
  <c r="D83" i="1" s="1"/>
  <c r="R83" i="1" s="1"/>
  <c r="G83" i="1" s="1"/>
  <c r="S83" i="1" l="1"/>
  <c r="F83" i="1"/>
  <c r="E83" i="1" s="1"/>
  <c r="D84" i="1" s="1"/>
  <c r="R84" i="1" l="1"/>
  <c r="G84" i="1" s="1"/>
  <c r="J83" i="1"/>
  <c r="L83" i="1" s="1"/>
  <c r="S84" i="1" l="1"/>
  <c r="F84" i="1"/>
  <c r="J84" i="1" l="1"/>
  <c r="L84" i="1" s="1"/>
  <c r="E84" i="1"/>
  <c r="D85" i="1" s="1"/>
  <c r="R85" i="1" l="1"/>
  <c r="G85" i="1" s="1"/>
  <c r="S85" i="1" l="1"/>
  <c r="F85" i="1"/>
  <c r="E85" i="1" s="1"/>
  <c r="D86" i="1" s="1"/>
  <c r="R86" i="1" l="1"/>
  <c r="G86" i="1" s="1"/>
  <c r="J85" i="1"/>
  <c r="L85" i="1" s="1"/>
  <c r="S86" i="1" l="1"/>
  <c r="F86" i="1"/>
  <c r="E86" i="1" s="1"/>
  <c r="D87" i="1" s="1"/>
  <c r="R87" i="1" l="1"/>
  <c r="G87" i="1" s="1"/>
  <c r="J86" i="1"/>
  <c r="L86" i="1" s="1"/>
  <c r="S87" i="1" l="1"/>
  <c r="F87" i="1"/>
  <c r="E87" i="1" s="1"/>
  <c r="D88" i="1" s="1"/>
  <c r="R88" i="1" s="1"/>
  <c r="G88" i="1" s="1"/>
  <c r="S88" i="1" l="1"/>
  <c r="F88" i="1"/>
  <c r="E88" i="1" s="1"/>
  <c r="D89" i="1" s="1"/>
  <c r="J87" i="1"/>
  <c r="L87" i="1" s="1"/>
  <c r="J88" i="1" l="1"/>
  <c r="L88" i="1" s="1"/>
  <c r="R89" i="1"/>
  <c r="G89" i="1" s="1"/>
  <c r="S89" i="1" l="1"/>
  <c r="F89" i="1"/>
  <c r="J89" i="1" l="1"/>
  <c r="L89" i="1" s="1"/>
  <c r="E89" i="1"/>
  <c r="D90" i="1" s="1"/>
  <c r="R90" i="1" l="1"/>
  <c r="G90" i="1" s="1"/>
  <c r="S90" i="1" l="1"/>
  <c r="F90" i="1"/>
  <c r="E90" i="1" s="1"/>
  <c r="D91" i="1" s="1"/>
  <c r="J90" i="1" l="1"/>
  <c r="L90" i="1" s="1"/>
  <c r="R91" i="1"/>
  <c r="G91" i="1" s="1"/>
  <c r="S91" i="1" l="1"/>
  <c r="F91" i="1"/>
  <c r="E91" i="1" s="1"/>
  <c r="D92" i="1" s="1"/>
  <c r="R92" i="1" l="1"/>
  <c r="G92" i="1" s="1"/>
  <c r="J91" i="1"/>
  <c r="L91" i="1" s="1"/>
  <c r="S92" i="1" l="1"/>
  <c r="F92" i="1"/>
  <c r="E92" i="1" s="1"/>
  <c r="D93" i="1" s="1"/>
  <c r="J92" i="1" l="1"/>
  <c r="L92" i="1" s="1"/>
  <c r="R93" i="1"/>
  <c r="G93" i="1" s="1"/>
  <c r="F93" i="1"/>
  <c r="E93" i="1" s="1"/>
  <c r="D94" i="1" s="1"/>
  <c r="F94" i="1" l="1"/>
  <c r="J94" i="1" s="1"/>
  <c r="L94" i="1" s="1"/>
  <c r="J93" i="1"/>
  <c r="S93" i="1"/>
  <c r="J28" i="1"/>
  <c r="G32" i="1"/>
  <c r="E94" i="1" l="1"/>
  <c r="D95" i="1" s="1"/>
  <c r="F95" i="1" s="1"/>
  <c r="L93" i="1"/>
  <c r="E95" i="1" l="1"/>
  <c r="D96" i="1" s="1"/>
  <c r="J95" i="1"/>
  <c r="F96" i="1" l="1"/>
  <c r="J96" i="1" s="1"/>
  <c r="L96" i="1" s="1"/>
  <c r="L95" i="1"/>
  <c r="E96" i="1" l="1"/>
  <c r="D97" i="1" s="1"/>
  <c r="F97" i="1" s="1"/>
  <c r="J97" i="1" s="1"/>
  <c r="E97" i="1" l="1"/>
  <c r="D98" i="1" s="1"/>
  <c r="F98" i="1" s="1"/>
  <c r="L97" i="1"/>
  <c r="E98" i="1" l="1"/>
  <c r="D99" i="1" s="1"/>
  <c r="F99" i="1" s="1"/>
  <c r="J99" i="1" s="1"/>
  <c r="L99" i="1" s="1"/>
  <c r="J98" i="1"/>
  <c r="E99" i="1" l="1"/>
  <c r="D100" i="1" s="1"/>
  <c r="F100" i="1" s="1"/>
  <c r="E100" i="1" s="1"/>
  <c r="D101" i="1" s="1"/>
  <c r="L98" i="1"/>
  <c r="F101" i="1" l="1"/>
  <c r="J101" i="1" s="1"/>
  <c r="L101" i="1" s="1"/>
  <c r="J100" i="1"/>
  <c r="E101" i="1" l="1"/>
  <c r="D102" i="1" s="1"/>
  <c r="F102" i="1" s="1"/>
  <c r="J102" i="1" s="1"/>
  <c r="L102" i="1" s="1"/>
  <c r="L100" i="1"/>
  <c r="E102" i="1" l="1"/>
  <c r="D103" i="1" s="1"/>
  <c r="F103" i="1" l="1"/>
  <c r="J103" i="1" s="1"/>
  <c r="L103" i="1" s="1"/>
  <c r="E103" i="1" l="1"/>
  <c r="D104" i="1" s="1"/>
  <c r="F104" i="1" s="1"/>
  <c r="J104" i="1" s="1"/>
  <c r="L104" i="1" s="1"/>
  <c r="E104" i="1" l="1"/>
  <c r="D105" i="1" s="1"/>
  <c r="F105" i="1" s="1"/>
  <c r="J105" i="1" l="1"/>
  <c r="F32" i="1"/>
  <c r="E105" i="1"/>
  <c r="L105" i="1" l="1"/>
  <c r="L32" i="1" s="1"/>
  <c r="J32" i="1"/>
</calcChain>
</file>

<file path=xl/sharedStrings.xml><?xml version="1.0" encoding="utf-8"?>
<sst xmlns="http://schemas.openxmlformats.org/spreadsheetml/2006/main" count="85" uniqueCount="79">
  <si>
    <t>Moneda</t>
  </si>
  <si>
    <t>Fecha</t>
  </si>
  <si>
    <t>Fecha de desembolso</t>
  </si>
  <si>
    <r>
      <t xml:space="preserve">Cuota Mensual (C) del mes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:</t>
    </r>
  </si>
  <si>
    <r>
      <t xml:space="preserve">Interés (I) del mes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:</t>
    </r>
  </si>
  <si>
    <r>
      <t>Saldo Inicial (SI) y Saldo Final (SF) del mes</t>
    </r>
    <r>
      <rPr>
        <i/>
        <sz val="10"/>
        <rFont val="Arial"/>
        <family val="2"/>
      </rPr>
      <t xml:space="preserve"> i:</t>
    </r>
  </si>
  <si>
    <r>
      <t xml:space="preserve">Amortización (A) del mes </t>
    </r>
    <r>
      <rPr>
        <i/>
        <sz val="10"/>
        <rFont val="Arial"/>
        <family val="2"/>
      </rPr>
      <t>i:</t>
    </r>
  </si>
  <si>
    <t>A partir del mes 1:</t>
  </si>
  <si>
    <t>dp = Tasa de derecho de emisión de póliza</t>
  </si>
  <si>
    <t>Total a Pagar Mensual (T):</t>
  </si>
  <si>
    <t>tsd = Tasa de seguro de desgravamen</t>
  </si>
  <si>
    <t>Seguro de Desgravamen Mensual Constante (SD):</t>
  </si>
  <si>
    <t>i = Mes correspondiente</t>
  </si>
  <si>
    <t>Saldo Final (SF)</t>
  </si>
  <si>
    <t>Tasa de Seguro de Desgravamen (tsd)</t>
  </si>
  <si>
    <t>Tasa de Derecho de emisión de póliza (tp)</t>
  </si>
  <si>
    <t>C = Cuota Mensual</t>
  </si>
  <si>
    <t>P = Monto a desembolsar</t>
  </si>
  <si>
    <t>A = Amortización mensual</t>
  </si>
  <si>
    <t>SI = Saldo Inicial del mes</t>
  </si>
  <si>
    <t>SF = Saldo Final del mes</t>
  </si>
  <si>
    <t>I = Intereses del mes</t>
  </si>
  <si>
    <t>SD = Seguro de Desgravamen del mes</t>
  </si>
  <si>
    <t>T = Total a pagar mensual</t>
  </si>
  <si>
    <t>Leyenda:</t>
  </si>
  <si>
    <t>n = Plazo del Préstamo (meses)</t>
  </si>
  <si>
    <t>Cuota Total a Pagar Mensual (T)</t>
  </si>
  <si>
    <t>Seguro de desgravamen (SD)
Poliza         IGV</t>
  </si>
  <si>
    <t>Tasa de interés efectiva anual equivalente (TIEAEq)</t>
  </si>
  <si>
    <t>Tasa de Interés Efectiva Mensual:</t>
  </si>
  <si>
    <t>PT = Comisión y Gastos por Portes</t>
  </si>
  <si>
    <t>Fórmulas MaxiPréstamo</t>
  </si>
  <si>
    <t>TIEA = Tasa de interés efectiva Anual</t>
  </si>
  <si>
    <r>
      <t>t</t>
    </r>
    <r>
      <rPr>
        <sz val="8"/>
        <rFont val="Arial"/>
        <family val="2"/>
      </rPr>
      <t>m</t>
    </r>
    <r>
      <rPr>
        <sz val="10"/>
        <rFont val="Arial"/>
        <family val="2"/>
      </rPr>
      <t xml:space="preserve"> = Tasa de interés efectiva Mensual</t>
    </r>
  </si>
  <si>
    <t>Periodo de gracia (meses)</t>
  </si>
  <si>
    <t>No</t>
  </si>
  <si>
    <t>Día</t>
  </si>
  <si>
    <t>Ocultar fila</t>
  </si>
  <si>
    <t>configurar</t>
  </si>
  <si>
    <t>Cuota Mensual (C)</t>
  </si>
  <si>
    <t>TOTALES --&gt;</t>
  </si>
  <si>
    <t>Dias Calendario</t>
  </si>
  <si>
    <t>Año Base 360 días</t>
  </si>
  <si>
    <t>Dólares</t>
  </si>
  <si>
    <t>Soles</t>
  </si>
  <si>
    <t>Endosado</t>
  </si>
  <si>
    <t>Tipo de Seguro de Desgravamen</t>
  </si>
  <si>
    <t>Titular</t>
  </si>
  <si>
    <t>Días Calendario</t>
  </si>
  <si>
    <t>Monto del Préstamo</t>
  </si>
  <si>
    <t>Día de Pago</t>
  </si>
  <si>
    <t>Portes</t>
  </si>
  <si>
    <t>Totales</t>
  </si>
  <si>
    <t>Cuota Doble</t>
  </si>
  <si>
    <t>Físico</t>
  </si>
  <si>
    <t>Virtual</t>
  </si>
  <si>
    <t>Fecha Primera Cuota</t>
  </si>
  <si>
    <t>Seguro de desgravamen</t>
  </si>
  <si>
    <t>Interés</t>
  </si>
  <si>
    <t>Amortización</t>
  </si>
  <si>
    <t>Nro Cuota</t>
  </si>
  <si>
    <t>Saldo Capital</t>
  </si>
  <si>
    <t>Cuota</t>
  </si>
  <si>
    <t>Cuota Total</t>
  </si>
  <si>
    <t>Número de Cuotas</t>
  </si>
  <si>
    <t>SIMULADOR - CRÉDITO DE CONSUMO</t>
  </si>
  <si>
    <t>Notas:</t>
  </si>
  <si>
    <t>1) El año base para el cálculo de las tasas de interés es de 360 días.</t>
  </si>
  <si>
    <t>2) Los datos que se muestran en este simulador son referenciales y están sujetos a evaluación, podría no coincidir con la información del cronograma definitivo. Los datos podrán variar dependiendo de la fecha real de desembolso y la fecha del primer vencimiento. Este documento no constituye aprobación del préstamo.</t>
  </si>
  <si>
    <t>Editar, se debe mostrar unicamente las opciones de dia de pago (2,7,14).</t>
  </si>
  <si>
    <t xml:space="preserve">La opción de macros en MS-Excel debe estar habilitada para el completo funcionamiento de los simuladores.
</t>
  </si>
  <si>
    <t>Tasa de Costo Efectivo Anual (TCEA)</t>
  </si>
  <si>
    <t>Tasa de Interés Compensatorio Efectiva Anual (TEA Fija)</t>
  </si>
  <si>
    <t>Envio Estado de Cuenta*</t>
  </si>
  <si>
    <t>Seguro de Desgravamen Mensual**</t>
  </si>
  <si>
    <t>Días de Pago</t>
  </si>
  <si>
    <t>(*) El cálculo de la comisión se realiza en base a un tipo de cambio referencial de S/ 4.00. La información de esta comisión se encuentra disponible en el "Tarifario" ubicado en www.santanderconsumer.com.pe.</t>
  </si>
  <si>
    <t>(**) Usted tiene derecho a contratar el seguro de desgravamen y endosarlo a favor de Santander Consumer hasta el monto del saldo adeudado. Las condiciones del endoso se encuentra en www.santanderconsumer.com.pe.</t>
  </si>
  <si>
    <t>Mancomunado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</si>
</sst>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0.000%"/>
    <numFmt numFmtId="166" formatCode="0.0000000%"/>
    <numFmt numFmtId="167" formatCode="0.0000000000"/>
    <numFmt numFmtId="168" formatCode="0.0000%"/>
    <numFmt numFmtId="169" formatCode="0.00000%"/>
    <numFmt numFmtId="170" formatCode="#,##0.00000"/>
    <numFmt numFmtId="171" formatCode="0.0%"/>
  </numFmts>
  <fonts count="22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9"/>
      </top>
      <bottom style="thin">
        <color theme="0"/>
      </bottom>
      <diagonal/>
    </border>
    <border>
      <left style="thin">
        <color theme="0"/>
      </left>
      <right/>
      <top style="medium">
        <color indexed="9"/>
      </top>
      <bottom style="thin">
        <color theme="0"/>
      </bottom>
      <diagonal/>
    </border>
    <border>
      <left/>
      <right style="thin">
        <color theme="0"/>
      </right>
      <top style="medium">
        <color indexed="9"/>
      </top>
      <bottom style="thin">
        <color theme="0"/>
      </bottom>
      <diagonal/>
    </border>
    <border>
      <left/>
      <right style="thin">
        <color indexed="9"/>
      </right>
      <top style="medium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theme="0"/>
      </bottom>
      <diagonal/>
    </border>
    <border>
      <left style="thin">
        <color indexed="9"/>
      </left>
      <right/>
      <top style="medium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9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9"/>
      </top>
      <bottom style="thin">
        <color theme="0"/>
      </bottom>
      <diagonal/>
    </border>
    <border>
      <left style="medium">
        <color theme="1"/>
      </left>
      <right style="medium">
        <color indexed="64"/>
      </right>
      <top style="thin">
        <color theme="0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5" fillId="3" borderId="8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5" fillId="3" borderId="10" xfId="0" applyFont="1" applyFill="1" applyBorder="1" applyAlignment="1">
      <alignment horizontal="centerContinuous" vertical="center"/>
    </xf>
    <xf numFmtId="0" fontId="6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19" xfId="0" applyFont="1" applyBorder="1"/>
    <xf numFmtId="165" fontId="8" fillId="0" borderId="2" xfId="0" applyNumberFormat="1" applyFont="1" applyBorder="1" applyAlignment="1">
      <alignment horizontal="center"/>
    </xf>
    <xf numFmtId="0" fontId="9" fillId="0" borderId="0" xfId="0" applyFont="1" applyBorder="1"/>
    <xf numFmtId="0" fontId="14" fillId="6" borderId="3" xfId="0" applyFont="1" applyFill="1" applyBorder="1" applyAlignment="1"/>
    <xf numFmtId="0" fontId="14" fillId="6" borderId="4" xfId="0" applyFont="1" applyFill="1" applyBorder="1" applyAlignment="1"/>
    <xf numFmtId="0" fontId="17" fillId="2" borderId="1" xfId="0" applyFont="1" applyFill="1" applyBorder="1" applyAlignment="1"/>
    <xf numFmtId="0" fontId="17" fillId="2" borderId="0" xfId="0" applyFont="1" applyFill="1" applyBorder="1" applyAlignment="1"/>
    <xf numFmtId="0" fontId="17" fillId="2" borderId="2" xfId="0" applyFont="1" applyFill="1" applyBorder="1" applyAlignment="1"/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0" fontId="17" fillId="2" borderId="5" xfId="0" applyFont="1" applyFill="1" applyBorder="1" applyAlignment="1"/>
    <xf numFmtId="10" fontId="8" fillId="0" borderId="5" xfId="0" applyNumberFormat="1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0" xfId="0" applyFont="1" applyFill="1" applyBorder="1" applyAlignment="1"/>
    <xf numFmtId="164" fontId="8" fillId="0" borderId="0" xfId="1" applyFont="1" applyFill="1" applyBorder="1"/>
    <xf numFmtId="0" fontId="9" fillId="0" borderId="1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67" fontId="8" fillId="0" borderId="0" xfId="0" applyNumberFormat="1" applyFont="1"/>
    <xf numFmtId="2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/>
    <xf numFmtId="0" fontId="8" fillId="0" borderId="0" xfId="0" applyFont="1" applyBorder="1" applyAlignment="1">
      <alignment horizontal="center"/>
    </xf>
    <xf numFmtId="1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/>
    </xf>
    <xf numFmtId="0" fontId="14" fillId="6" borderId="1" xfId="0" applyFont="1" applyFill="1" applyBorder="1" applyAlignment="1"/>
    <xf numFmtId="0" fontId="14" fillId="6" borderId="0" xfId="0" applyFont="1" applyFill="1" applyBorder="1" applyAlignment="1"/>
    <xf numFmtId="0" fontId="8" fillId="0" borderId="0" xfId="0" applyFont="1" applyProtection="1"/>
    <xf numFmtId="0" fontId="9" fillId="0" borderId="0" xfId="0" applyFont="1" applyProtection="1"/>
    <xf numFmtId="0" fontId="8" fillId="0" borderId="22" xfId="0" applyFont="1" applyBorder="1" applyProtection="1"/>
    <xf numFmtId="0" fontId="8" fillId="0" borderId="19" xfId="0" applyFont="1" applyBorder="1" applyProtection="1"/>
    <xf numFmtId="0" fontId="14" fillId="6" borderId="1" xfId="0" applyFont="1" applyFill="1" applyBorder="1" applyAlignment="1" applyProtection="1"/>
    <xf numFmtId="0" fontId="14" fillId="6" borderId="0" xfId="0" applyFont="1" applyFill="1" applyBorder="1" applyAlignment="1" applyProtection="1"/>
    <xf numFmtId="0" fontId="14" fillId="6" borderId="0" xfId="0" applyFont="1" applyFill="1" applyBorder="1" applyAlignment="1"/>
    <xf numFmtId="0" fontId="8" fillId="8" borderId="0" xfId="0" applyFont="1" applyFill="1"/>
    <xf numFmtId="0" fontId="9" fillId="8" borderId="0" xfId="0" applyFont="1" applyFill="1"/>
    <xf numFmtId="0" fontId="20" fillId="8" borderId="0" xfId="0" applyFont="1" applyFill="1"/>
    <xf numFmtId="0" fontId="8" fillId="4" borderId="6" xfId="0" applyFont="1" applyFill="1" applyBorder="1" applyAlignment="1" applyProtection="1">
      <alignment horizontal="center"/>
      <protection locked="0"/>
    </xf>
    <xf numFmtId="4" fontId="8" fillId="0" borderId="6" xfId="0" applyNumberFormat="1" applyFont="1" applyBorder="1" applyAlignment="1">
      <alignment horizontal="center"/>
    </xf>
    <xf numFmtId="4" fontId="8" fillId="4" borderId="6" xfId="0" applyNumberFormat="1" applyFont="1" applyFill="1" applyBorder="1" applyAlignment="1" applyProtection="1">
      <alignment horizontal="center"/>
      <protection locked="0"/>
    </xf>
    <xf numFmtId="14" fontId="8" fillId="0" borderId="0" xfId="0" applyNumberFormat="1" applyFont="1" applyBorder="1" applyProtection="1"/>
    <xf numFmtId="14" fontId="8" fillId="0" borderId="6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4" fontId="8" fillId="0" borderId="6" xfId="0" applyNumberFormat="1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center"/>
      <protection locked="0"/>
    </xf>
    <xf numFmtId="10" fontId="8" fillId="0" borderId="6" xfId="0" applyNumberFormat="1" applyFont="1" applyFill="1" applyBorder="1" applyAlignment="1" applyProtection="1">
      <alignment horizontal="center" vertical="center"/>
      <protection locked="0"/>
    </xf>
    <xf numFmtId="10" fontId="8" fillId="0" borderId="6" xfId="0" applyNumberFormat="1" applyFont="1" applyBorder="1" applyAlignment="1" applyProtection="1">
      <alignment horizontal="center"/>
      <protection locked="0"/>
    </xf>
    <xf numFmtId="4" fontId="8" fillId="0" borderId="6" xfId="0" applyNumberFormat="1" applyFont="1" applyBorder="1" applyAlignment="1" applyProtection="1">
      <alignment horizontal="center"/>
      <protection locked="0"/>
    </xf>
    <xf numFmtId="0" fontId="14" fillId="6" borderId="22" xfId="0" applyFont="1" applyFill="1" applyBorder="1" applyAlignment="1" applyProtection="1">
      <alignment horizontal="center" vertical="center" wrapText="1"/>
      <protection hidden="1"/>
    </xf>
    <xf numFmtId="0" fontId="14" fillId="6" borderId="24" xfId="0" applyFont="1" applyFill="1" applyBorder="1" applyAlignment="1" applyProtection="1">
      <alignment horizontal="center" vertical="center" wrapText="1"/>
      <protection hidden="1"/>
    </xf>
    <xf numFmtId="0" fontId="14" fillId="6" borderId="25" xfId="0" applyFont="1" applyFill="1" applyBorder="1" applyAlignment="1" applyProtection="1">
      <alignment horizontal="center" vertical="center" wrapText="1"/>
      <protection hidden="1"/>
    </xf>
    <xf numFmtId="0" fontId="14" fillId="6" borderId="26" xfId="0" applyFont="1" applyFill="1" applyBorder="1" applyAlignment="1" applyProtection="1">
      <alignment horizontal="center" vertical="center" wrapText="1"/>
      <protection hidden="1"/>
    </xf>
    <xf numFmtId="0" fontId="14" fillId="6" borderId="19" xfId="0" applyFont="1" applyFill="1" applyBorder="1" applyAlignment="1" applyProtection="1">
      <alignment horizontal="center" vertical="center" wrapText="1"/>
      <protection hidden="1"/>
    </xf>
    <xf numFmtId="0" fontId="14" fillId="6" borderId="40" xfId="0" applyFont="1" applyFill="1" applyBorder="1" applyAlignment="1" applyProtection="1">
      <alignment horizontal="center" vertical="center" wrapText="1"/>
      <protection hidden="1"/>
    </xf>
    <xf numFmtId="0" fontId="14" fillId="6" borderId="36" xfId="0" applyFont="1" applyFill="1" applyBorder="1" applyAlignment="1" applyProtection="1">
      <alignment horizontal="center" vertical="center" wrapText="1"/>
      <protection hidden="1"/>
    </xf>
    <xf numFmtId="0" fontId="14" fillId="2" borderId="34" xfId="0" applyFont="1" applyFill="1" applyBorder="1" applyAlignment="1" applyProtection="1">
      <alignment horizontal="right" vertical="center" wrapText="1"/>
      <protection hidden="1"/>
    </xf>
    <xf numFmtId="0" fontId="14" fillId="2" borderId="35" xfId="0" applyFont="1" applyFill="1" applyBorder="1" applyAlignment="1" applyProtection="1">
      <alignment horizontal="right" vertical="center" wrapText="1"/>
      <protection hidden="1"/>
    </xf>
    <xf numFmtId="4" fontId="14" fillId="2" borderId="30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1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2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3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27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/>
      <protection hidden="1"/>
    </xf>
    <xf numFmtId="14" fontId="8" fillId="0" borderId="1" xfId="0" applyNumberFormat="1" applyFont="1" applyBorder="1" applyAlignment="1" applyProtection="1">
      <alignment horizontal="center"/>
      <protection hidden="1"/>
    </xf>
    <xf numFmtId="4" fontId="8" fillId="0" borderId="14" xfId="0" applyNumberFormat="1" applyFont="1" applyBorder="1" applyProtection="1">
      <protection hidden="1"/>
    </xf>
    <xf numFmtId="4" fontId="8" fillId="0" borderId="15" xfId="0" applyNumberFormat="1" applyFont="1" applyBorder="1" applyProtection="1">
      <protection hidden="1"/>
    </xf>
    <xf numFmtId="4" fontId="8" fillId="0" borderId="0" xfId="0" applyNumberFormat="1" applyFont="1" applyBorder="1" applyProtection="1">
      <protection hidden="1"/>
    </xf>
    <xf numFmtId="4" fontId="9" fillId="0" borderId="23" xfId="0" applyNumberFormat="1" applyFont="1" applyBorder="1" applyProtection="1">
      <protection hidden="1"/>
    </xf>
    <xf numFmtId="4" fontId="9" fillId="0" borderId="38" xfId="0" applyNumberFormat="1" applyFont="1" applyBorder="1" applyProtection="1">
      <protection hidden="1"/>
    </xf>
    <xf numFmtId="4" fontId="8" fillId="0" borderId="23" xfId="0" applyNumberFormat="1" applyFont="1" applyBorder="1" applyProtection="1">
      <protection hidden="1"/>
    </xf>
    <xf numFmtId="4" fontId="9" fillId="0" borderId="39" xfId="0" applyNumberFormat="1" applyFont="1" applyBorder="1" applyProtection="1">
      <protection hidden="1"/>
    </xf>
    <xf numFmtId="14" fontId="8" fillId="0" borderId="1" xfId="0" applyNumberFormat="1" applyFont="1" applyBorder="1" applyProtection="1">
      <protection hidden="1"/>
    </xf>
    <xf numFmtId="4" fontId="9" fillId="0" borderId="2" xfId="0" applyNumberFormat="1" applyFont="1" applyBorder="1" applyProtection="1">
      <protection hidden="1"/>
    </xf>
    <xf numFmtId="0" fontId="8" fillId="0" borderId="7" xfId="0" applyFont="1" applyBorder="1" applyAlignment="1" applyProtection="1">
      <alignment horizontal="center"/>
      <protection hidden="1"/>
    </xf>
    <xf numFmtId="14" fontId="8" fillId="0" borderId="3" xfId="0" applyNumberFormat="1" applyFont="1" applyBorder="1" applyProtection="1">
      <protection hidden="1"/>
    </xf>
    <xf numFmtId="4" fontId="8" fillId="0" borderId="4" xfId="0" applyNumberFormat="1" applyFont="1" applyBorder="1" applyProtection="1">
      <protection hidden="1"/>
    </xf>
    <xf numFmtId="4" fontId="9" fillId="0" borderId="5" xfId="0" applyNumberFormat="1" applyFont="1" applyBorder="1" applyProtection="1">
      <protection hidden="1"/>
    </xf>
    <xf numFmtId="0" fontId="19" fillId="6" borderId="19" xfId="0" applyFont="1" applyFill="1" applyBorder="1" applyProtection="1">
      <protection hidden="1"/>
    </xf>
    <xf numFmtId="4" fontId="19" fillId="6" borderId="19" xfId="0" applyNumberFormat="1" applyFont="1" applyFill="1" applyBorder="1" applyProtection="1">
      <protection hidden="1"/>
    </xf>
    <xf numFmtId="10" fontId="8" fillId="7" borderId="10" xfId="0" applyNumberFormat="1" applyFont="1" applyFill="1" applyBorder="1" applyAlignment="1" applyProtection="1">
      <alignment horizontal="center"/>
      <protection hidden="1"/>
    </xf>
    <xf numFmtId="14" fontId="8" fillId="7" borderId="6" xfId="0" applyNumberFormat="1" applyFont="1" applyFill="1" applyBorder="1" applyAlignment="1" applyProtection="1">
      <alignment horizontal="center"/>
      <protection hidden="1"/>
    </xf>
    <xf numFmtId="0" fontId="8" fillId="0" borderId="19" xfId="0" applyFont="1" applyBorder="1" applyProtection="1">
      <protection hidden="1"/>
    </xf>
    <xf numFmtId="0" fontId="12" fillId="0" borderId="19" xfId="0" applyFont="1" applyBorder="1" applyProtection="1">
      <protection hidden="1"/>
    </xf>
    <xf numFmtId="0" fontId="13" fillId="0" borderId="19" xfId="0" applyFont="1" applyBorder="1" applyProtection="1">
      <protection hidden="1"/>
    </xf>
    <xf numFmtId="0" fontId="12" fillId="0" borderId="2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13" fillId="0" borderId="0" xfId="0" applyFont="1" applyBorder="1" applyProtection="1">
      <protection hidden="1"/>
    </xf>
    <xf numFmtId="0" fontId="12" fillId="0" borderId="2" xfId="0" applyFont="1" applyBorder="1" applyProtection="1">
      <protection hidden="1"/>
    </xf>
    <xf numFmtId="14" fontId="8" fillId="0" borderId="0" xfId="0" applyNumberFormat="1" applyFont="1" applyBorder="1" applyProtection="1">
      <protection hidden="1"/>
    </xf>
    <xf numFmtId="0" fontId="19" fillId="6" borderId="10" xfId="0" applyFont="1" applyFill="1" applyBorder="1" applyProtection="1">
      <protection hidden="1"/>
    </xf>
    <xf numFmtId="0" fontId="13" fillId="0" borderId="21" xfId="0" applyFont="1" applyBorder="1" applyProtection="1">
      <protection hidden="1"/>
    </xf>
    <xf numFmtId="0" fontId="12" fillId="5" borderId="0" xfId="0" applyFont="1" applyFill="1" applyBorder="1" applyProtection="1">
      <protection hidden="1"/>
    </xf>
    <xf numFmtId="0" fontId="13" fillId="5" borderId="0" xfId="0" applyFont="1" applyFill="1" applyProtection="1">
      <protection hidden="1"/>
    </xf>
    <xf numFmtId="0" fontId="13" fillId="5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169" fontId="15" fillId="0" borderId="0" xfId="0" applyNumberFormat="1" applyFont="1" applyBorder="1" applyProtection="1">
      <protection hidden="1"/>
    </xf>
    <xf numFmtId="166" fontId="12" fillId="0" borderId="0" xfId="2" applyNumberFormat="1" applyFont="1" applyBorder="1" applyProtection="1">
      <protection hidden="1"/>
    </xf>
    <xf numFmtId="0" fontId="9" fillId="5" borderId="0" xfId="0" applyFont="1" applyFill="1" applyBorder="1" applyProtection="1">
      <protection hidden="1"/>
    </xf>
    <xf numFmtId="168" fontId="15" fillId="0" borderId="0" xfId="2" applyNumberFormat="1" applyFont="1" applyBorder="1" applyProtection="1">
      <protection hidden="1"/>
    </xf>
    <xf numFmtId="2" fontId="16" fillId="0" borderId="0" xfId="0" applyNumberFormat="1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9" fillId="0" borderId="2" xfId="0" applyFont="1" applyBorder="1" applyProtection="1">
      <protection hidden="1"/>
    </xf>
    <xf numFmtId="171" fontId="15" fillId="0" borderId="0" xfId="0" applyNumberFormat="1" applyFont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4" fontId="15" fillId="0" borderId="0" xfId="0" applyNumberFormat="1" applyFont="1" applyFill="1" applyBorder="1" applyAlignment="1" applyProtection="1">
      <alignment horizontal="center"/>
      <protection hidden="1"/>
    </xf>
    <xf numFmtId="0" fontId="13" fillId="7" borderId="6" xfId="0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0" fillId="8" borderId="0" xfId="0" applyFill="1" applyAlignment="1" applyProtection="1">
      <alignment horizontal="left" vertical="justify"/>
    </xf>
    <xf numFmtId="0" fontId="1" fillId="8" borderId="0" xfId="0" applyFont="1" applyFill="1" applyAlignment="1" applyProtection="1">
      <alignment horizontal="justify" vertical="center" wrapText="1"/>
    </xf>
    <xf numFmtId="0" fontId="0" fillId="8" borderId="0" xfId="0" applyFill="1" applyAlignment="1" applyProtection="1">
      <alignment horizontal="justify" vertical="center" wrapText="1"/>
    </xf>
    <xf numFmtId="49" fontId="0" fillId="8" borderId="0" xfId="0" applyNumberFormat="1" applyFill="1" applyAlignment="1" applyProtection="1">
      <alignment horizontal="justify" vertical="top" wrapText="1"/>
    </xf>
    <xf numFmtId="0" fontId="0" fillId="0" borderId="0" xfId="0" applyAlignment="1"/>
    <xf numFmtId="0" fontId="14" fillId="6" borderId="1" xfId="0" applyFont="1" applyFill="1" applyBorder="1" applyAlignment="1"/>
    <xf numFmtId="0" fontId="14" fillId="6" borderId="0" xfId="0" applyFont="1" applyFill="1" applyBorder="1" applyAlignment="1"/>
    <xf numFmtId="0" fontId="17" fillId="2" borderId="19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top"/>
    </xf>
    <xf numFmtId="0" fontId="14" fillId="6" borderId="0" xfId="0" applyFont="1" applyFill="1" applyBorder="1" applyAlignment="1">
      <alignment horizontal="left" vertical="top"/>
    </xf>
    <xf numFmtId="0" fontId="14" fillId="2" borderId="28" xfId="0" applyFont="1" applyFill="1" applyBorder="1" applyAlignment="1" applyProtection="1">
      <alignment horizontal="center" vertical="center" wrapText="1"/>
      <protection hidden="1"/>
    </xf>
    <xf numFmtId="0" fontId="14" fillId="2" borderId="29" xfId="0" applyFont="1" applyFill="1" applyBorder="1" applyAlignment="1" applyProtection="1">
      <alignment horizontal="center" vertical="center" wrapText="1"/>
      <protection hidden="1"/>
    </xf>
    <xf numFmtId="0" fontId="14" fillId="6" borderId="8" xfId="0" applyFont="1" applyFill="1" applyBorder="1" applyAlignment="1"/>
    <xf numFmtId="0" fontId="14" fillId="6" borderId="9" xfId="0" applyFont="1" applyFill="1" applyBorder="1" applyAlignment="1"/>
    <xf numFmtId="0" fontId="14" fillId="6" borderId="10" xfId="0" applyFont="1" applyFill="1" applyBorder="1" applyAlignment="1"/>
    <xf numFmtId="0" fontId="18" fillId="6" borderId="19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/>
    <xf numFmtId="0" fontId="11" fillId="3" borderId="10" xfId="0" applyFont="1" applyFill="1" applyBorder="1" applyAlignment="1" applyProtection="1"/>
    <xf numFmtId="0" fontId="14" fillId="6" borderId="22" xfId="0" applyFont="1" applyFill="1" applyBorder="1" applyAlignment="1" applyProtection="1"/>
    <xf numFmtId="0" fontId="14" fillId="6" borderId="19" xfId="0" applyFont="1" applyFill="1" applyBorder="1" applyAlignment="1" applyProtection="1"/>
    <xf numFmtId="0" fontId="14" fillId="6" borderId="1" xfId="0" applyFont="1" applyFill="1" applyBorder="1" applyAlignment="1" applyProtection="1"/>
    <xf numFmtId="0" fontId="14" fillId="6" borderId="0" xfId="0" applyFont="1" applyFill="1" applyBorder="1" applyAlignment="1" applyProtection="1"/>
    <xf numFmtId="165" fontId="8" fillId="0" borderId="0" xfId="0" applyNumberFormat="1" applyFont="1"/>
    <xf numFmtId="168" fontId="8" fillId="0" borderId="0" xfId="0" applyNumberFormat="1" applyFont="1"/>
    <xf numFmtId="168" fontId="8" fillId="7" borderId="7" xfId="2" applyNumberFormat="1" applyFont="1" applyFill="1" applyBorder="1" applyAlignment="1" applyProtection="1">
      <alignment horizontal="center"/>
      <protection hidden="1"/>
    </xf>
    <xf numFmtId="0" fontId="21" fillId="0" borderId="0" xfId="0" applyFont="1" applyBorder="1" applyProtection="1">
      <protection hidden="1"/>
    </xf>
    <xf numFmtId="0" fontId="15" fillId="0" borderId="0" xfId="0" applyFont="1" applyBorder="1" applyProtection="1">
      <protection hidden="1"/>
    </xf>
    <xf numFmtId="2" fontId="8" fillId="0" borderId="6" xfId="1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wmf"/><Relationship Id="rId7" Type="http://schemas.openxmlformats.org/officeDocument/2006/relationships/image" Target="../media/image8.emf"/><Relationship Id="rId2" Type="http://schemas.openxmlformats.org/officeDocument/2006/relationships/image" Target="../media/image3.wmf"/><Relationship Id="rId1" Type="http://schemas.openxmlformats.org/officeDocument/2006/relationships/image" Target="../media/image2.e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172418</xdr:colOff>
      <xdr:row>28</xdr:row>
      <xdr:rowOff>48866</xdr:rowOff>
    </xdr:from>
    <xdr:to>
      <xdr:col>4</xdr:col>
      <xdr:colOff>945736</xdr:colOff>
      <xdr:row>30</xdr:row>
      <xdr:rowOff>27609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72418" y="3541366"/>
          <a:ext cx="3906905" cy="151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just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E" sz="800" b="1" i="1" baseline="0">
              <a:latin typeface="Arial" pitchFamily="34" charset="0"/>
              <a:ea typeface="+mn-ea"/>
              <a:cs typeface="Arial" pitchFamily="34" charset="0"/>
            </a:rPr>
            <a:t>Revisar las notas ubicadas al final del cronograma</a:t>
          </a:r>
        </a:p>
        <a:p>
          <a:pPr algn="just" rtl="0">
            <a:lnSpc>
              <a:spcPts val="700"/>
            </a:lnSpc>
            <a:defRPr sz="1000"/>
          </a:pPr>
          <a:endParaRPr lang="es-PE" sz="8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41413</xdr:colOff>
      <xdr:row>0</xdr:row>
      <xdr:rowOff>58317</xdr:rowOff>
    </xdr:from>
    <xdr:to>
      <xdr:col>3</xdr:col>
      <xdr:colOff>296793</xdr:colOff>
      <xdr:row>4</xdr:row>
      <xdr:rowOff>86422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72" y="58317"/>
          <a:ext cx="2091358" cy="69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752475</xdr:colOff>
      <xdr:row>5</xdr:row>
      <xdr:rowOff>114300</xdr:rowOff>
    </xdr:to>
    <xdr:pic>
      <xdr:nvPicPr>
        <xdr:cNvPr id="3099" name="Picture 10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2324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146050</xdr:colOff>
          <xdr:row>12</xdr:row>
          <xdr:rowOff>69850</xdr:rowOff>
        </xdr:from>
        <xdr:to>
          <xdr:col>4</xdr:col>
          <xdr:colOff>31750</xdr:colOff>
          <xdr:row>16</xdr:row>
          <xdr:rowOff>127000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88900</xdr:colOff>
          <xdr:row>24</xdr:row>
          <xdr:rowOff>50800</xdr:rowOff>
        </xdr:from>
        <xdr:to>
          <xdr:col>3</xdr:col>
          <xdr:colOff>488950</xdr:colOff>
          <xdr:row>28</xdr:row>
          <xdr:rowOff>12700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24</xdr:row>
          <xdr:rowOff>107950</xdr:rowOff>
        </xdr:from>
        <xdr:to>
          <xdr:col>6</xdr:col>
          <xdr:colOff>717550</xdr:colOff>
          <xdr:row>28</xdr:row>
          <xdr:rowOff>69850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2</xdr:col>
          <xdr:colOff>457200</xdr:colOff>
          <xdr:row>33</xdr:row>
          <xdr:rowOff>31750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37</xdr:row>
          <xdr:rowOff>146050</xdr:rowOff>
        </xdr:from>
        <xdr:to>
          <xdr:col>2</xdr:col>
          <xdr:colOff>431800</xdr:colOff>
          <xdr:row>40</xdr:row>
          <xdr:rowOff>31750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50800</xdr:rowOff>
        </xdr:from>
        <xdr:to>
          <xdr:col>2</xdr:col>
          <xdr:colOff>717550</xdr:colOff>
          <xdr:row>22</xdr:row>
          <xdr:rowOff>69850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</xdr:colOff>
          <xdr:row>13</xdr:row>
          <xdr:rowOff>0</xdr:rowOff>
        </xdr:from>
        <xdr:to>
          <xdr:col>7</xdr:col>
          <xdr:colOff>203200</xdr:colOff>
          <xdr:row>16</xdr:row>
          <xdr:rowOff>107950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37</xdr:row>
          <xdr:rowOff>127000</xdr:rowOff>
        </xdr:from>
        <xdr:to>
          <xdr:col>6</xdr:col>
          <xdr:colOff>279400</xdr:colOff>
          <xdr:row>40</xdr:row>
          <xdr:rowOff>12700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30</xdr:row>
          <xdr:rowOff>88900</xdr:rowOff>
        </xdr:from>
        <xdr:to>
          <xdr:col>8</xdr:col>
          <xdr:colOff>755650</xdr:colOff>
          <xdr:row>34</xdr:row>
          <xdr:rowOff>88900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6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8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5" Type="http://schemas.openxmlformats.org/officeDocument/2006/relationships/image" Target="../media/image7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9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D116"/>
  <sheetViews>
    <sheetView showGridLines="0" showRowColHeaders="0" tabSelected="1" zoomScale="92" zoomScaleNormal="92" workbookViewId="0">
      <selection activeCell="E23" sqref="E23"/>
    </sheetView>
  </sheetViews>
  <sheetFormatPr baseColWidth="10" defaultColWidth="0" defaultRowHeight="13" zeroHeight="1" x14ac:dyDescent="0.3"/>
  <cols>
    <col min="1" max="1" width="2.54296875" style="15" customWidth="1" collapsed="1"/>
    <col min="2" max="2" width="11.54296875" style="15" customWidth="1" collapsed="1"/>
    <col min="3" max="3" width="14.54296875" style="15" customWidth="1" collapsed="1"/>
    <col min="4" max="4" width="16.1796875" style="15" customWidth="1" collapsed="1"/>
    <col min="5" max="5" width="17.453125" style="15" customWidth="1" collapsed="1"/>
    <col min="6" max="6" width="12.54296875" style="15" customWidth="1" collapsed="1"/>
    <col min="7" max="7" width="11.81640625" style="15" customWidth="1" collapsed="1"/>
    <col min="8" max="8" width="14.453125" style="16" customWidth="1" collapsed="1"/>
    <col min="9" max="9" width="10.54296875" style="15" customWidth="1" collapsed="1"/>
    <col min="10" max="10" width="12.1796875" style="15" customWidth="1" collapsed="1"/>
    <col min="11" max="11" width="12.453125" style="15" customWidth="1" collapsed="1"/>
    <col min="12" max="12" width="11.453125" style="16" customWidth="1" collapsed="1"/>
    <col min="13" max="13" width="2.54296875" style="15" customWidth="1" collapsed="1"/>
    <col min="14" max="14" width="12.453125" style="15" hidden="1" collapsed="1"/>
    <col min="15" max="15" width="17.26953125" style="15" hidden="1" collapsed="1"/>
    <col min="16" max="16" width="7" style="15" hidden="1" collapsed="1"/>
    <col min="17" max="17" width="6" style="15" hidden="1" collapsed="1"/>
    <col min="18" max="18" width="7" style="15" hidden="1" collapsed="1"/>
    <col min="19" max="19" width="7.453125" style="15" hidden="1" collapsed="1"/>
    <col min="20" max="20" width="11.453125" style="15" hidden="1" collapsed="1"/>
    <col min="21" max="21" width="2.81640625" style="15" hidden="1" collapsed="1"/>
    <col min="22" max="22" width="4.453125" style="17" hidden="1" collapsed="1"/>
    <col min="23" max="23" width="12.54296875" style="17" hidden="1" collapsed="1"/>
    <col min="24" max="24" width="11.453125" style="15" hidden="1" collapsed="1"/>
    <col min="25" max="27" width="9.81640625" style="15" hidden="1" collapsed="1"/>
    <col min="28" max="28" width="11.453125" style="15" hidden="1" collapsed="1"/>
    <col min="29" max="29" width="2.81640625" style="15" hidden="1" collapsed="1"/>
    <col min="30" max="31" width="9.81640625" style="15" hidden="1" collapsed="1"/>
    <col min="32" max="16383" width="10.81640625" style="15" hidden="1" collapsed="1"/>
    <col min="16384" max="16384" width="3.36328125" style="15" hidden="1" collapsed="1"/>
  </cols>
  <sheetData>
    <row r="1" spans="1:21" x14ac:dyDescent="0.3">
      <c r="A1" s="52"/>
      <c r="B1" s="52"/>
      <c r="C1" s="52"/>
      <c r="D1" s="52"/>
      <c r="E1" s="52"/>
      <c r="F1" s="52"/>
      <c r="G1" s="52"/>
      <c r="H1" s="53"/>
      <c r="I1" s="52"/>
      <c r="J1" s="52"/>
      <c r="K1" s="52"/>
      <c r="L1" s="53"/>
      <c r="M1" s="52"/>
    </row>
    <row r="2" spans="1:21" x14ac:dyDescent="0.3">
      <c r="A2" s="52"/>
      <c r="B2" s="52"/>
      <c r="C2" s="52"/>
      <c r="D2" s="52"/>
      <c r="E2" s="52"/>
      <c r="F2" s="52"/>
      <c r="G2" s="52"/>
      <c r="H2" s="53"/>
      <c r="I2" s="52"/>
      <c r="J2" s="52"/>
      <c r="K2" s="52"/>
      <c r="L2" s="53"/>
      <c r="M2" s="52"/>
    </row>
    <row r="3" spans="1:21" x14ac:dyDescent="0.3">
      <c r="A3" s="52"/>
      <c r="B3" s="52"/>
      <c r="C3" s="52"/>
      <c r="D3" s="52"/>
      <c r="E3" s="52"/>
      <c r="F3" s="52"/>
      <c r="G3" s="52"/>
      <c r="H3" s="53"/>
      <c r="I3" s="52"/>
      <c r="J3" s="52"/>
      <c r="K3" s="52"/>
      <c r="L3" s="53"/>
      <c r="M3" s="52"/>
    </row>
    <row r="4" spans="1:21" x14ac:dyDescent="0.3">
      <c r="A4" s="52"/>
      <c r="B4" s="52"/>
      <c r="C4" s="52"/>
      <c r="D4" s="52"/>
      <c r="E4" s="52"/>
      <c r="F4" s="52"/>
      <c r="G4" s="52"/>
      <c r="H4" s="53"/>
      <c r="I4" s="52"/>
      <c r="J4" s="52"/>
      <c r="K4" s="52"/>
      <c r="L4" s="53"/>
      <c r="M4" s="52"/>
      <c r="S4" s="15">
        <v>2</v>
      </c>
      <c r="U4" s="15">
        <v>1</v>
      </c>
    </row>
    <row r="5" spans="1:21" ht="13.5" thickBot="1" x14ac:dyDescent="0.35">
      <c r="A5" s="52"/>
      <c r="B5" s="52"/>
      <c r="C5" s="52"/>
      <c r="D5" s="52"/>
      <c r="E5" s="52"/>
      <c r="F5" s="52"/>
      <c r="G5" s="52"/>
      <c r="H5" s="53"/>
      <c r="I5" s="52"/>
      <c r="J5" s="52"/>
      <c r="K5" s="52"/>
      <c r="L5" s="53"/>
      <c r="M5" s="52"/>
      <c r="S5" s="15">
        <v>7</v>
      </c>
      <c r="U5" s="15">
        <v>2</v>
      </c>
    </row>
    <row r="6" spans="1:21" ht="24" thickBot="1" x14ac:dyDescent="0.6">
      <c r="A6" s="52"/>
      <c r="B6" s="154" t="s">
        <v>65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2"/>
      <c r="S6" s="15">
        <v>14</v>
      </c>
      <c r="U6" s="15">
        <v>3</v>
      </c>
    </row>
    <row r="7" spans="1:21" ht="13.5" thickBot="1" x14ac:dyDescent="0.35">
      <c r="A7" s="52"/>
      <c r="B7" s="54"/>
      <c r="C7" s="55"/>
      <c r="D7" s="55"/>
      <c r="E7" s="55"/>
      <c r="F7" s="107"/>
      <c r="G7" s="107"/>
      <c r="H7" s="108"/>
      <c r="I7" s="109"/>
      <c r="J7" s="109"/>
      <c r="K7" s="109"/>
      <c r="L7" s="110"/>
      <c r="M7" s="52"/>
      <c r="U7" s="15">
        <v>4</v>
      </c>
    </row>
    <row r="8" spans="1:21" x14ac:dyDescent="0.3">
      <c r="A8" s="52"/>
      <c r="B8" s="157" t="s">
        <v>0</v>
      </c>
      <c r="C8" s="158"/>
      <c r="D8" s="158"/>
      <c r="E8" s="69" t="s">
        <v>44</v>
      </c>
      <c r="F8" s="111"/>
      <c r="G8" s="112"/>
      <c r="H8" s="113"/>
      <c r="I8" s="114"/>
      <c r="J8" s="114"/>
      <c r="K8" s="114"/>
      <c r="L8" s="115"/>
      <c r="M8" s="52"/>
      <c r="O8" s="65">
        <f>E12+20</f>
        <v>44591</v>
      </c>
      <c r="U8" s="15">
        <v>5</v>
      </c>
    </row>
    <row r="9" spans="1:21" x14ac:dyDescent="0.3">
      <c r="A9" s="52"/>
      <c r="B9" s="159" t="s">
        <v>49</v>
      </c>
      <c r="C9" s="160"/>
      <c r="D9" s="160"/>
      <c r="E9" s="68">
        <v>5000</v>
      </c>
      <c r="F9" s="111"/>
      <c r="G9" s="116"/>
      <c r="H9" s="113"/>
      <c r="I9" s="114"/>
      <c r="J9" s="114"/>
      <c r="K9" s="114"/>
      <c r="L9" s="115"/>
      <c r="M9" s="52"/>
      <c r="N9" s="15">
        <f>IF(E8="Dólares",22000,66000)</f>
        <v>66000</v>
      </c>
      <c r="U9" s="15">
        <v>6</v>
      </c>
    </row>
    <row r="10" spans="1:21" ht="13.5" hidden="1" thickBot="1" x14ac:dyDescent="0.35">
      <c r="A10" s="52"/>
      <c r="B10" s="159" t="s">
        <v>50</v>
      </c>
      <c r="C10" s="160"/>
      <c r="D10" s="160"/>
      <c r="E10" s="68" t="s">
        <v>48</v>
      </c>
      <c r="F10" s="117" t="s">
        <v>36</v>
      </c>
      <c r="G10" s="118">
        <f>E11</f>
        <v>2</v>
      </c>
      <c r="H10" s="119" t="s">
        <v>69</v>
      </c>
      <c r="I10" s="120"/>
      <c r="J10" s="121"/>
      <c r="K10" s="121"/>
      <c r="L10" s="115"/>
      <c r="M10" s="52"/>
      <c r="O10" s="15" t="s">
        <v>47</v>
      </c>
      <c r="P10" s="161">
        <v>1.2700000000000001E-3</v>
      </c>
      <c r="R10" s="15">
        <v>1</v>
      </c>
      <c r="S10" s="15">
        <v>1</v>
      </c>
      <c r="U10" s="15">
        <v>7</v>
      </c>
    </row>
    <row r="11" spans="1:21" x14ac:dyDescent="0.3">
      <c r="A11" s="52"/>
      <c r="B11" s="56" t="s">
        <v>75</v>
      </c>
      <c r="C11" s="57"/>
      <c r="D11" s="57"/>
      <c r="E11" s="135">
        <v>2</v>
      </c>
      <c r="F11" s="111"/>
      <c r="G11" s="111"/>
      <c r="H11" s="111"/>
      <c r="I11" s="137"/>
      <c r="J11" s="113"/>
      <c r="K11" s="113"/>
      <c r="L11" s="115"/>
      <c r="M11" s="52"/>
      <c r="O11" s="15" t="s">
        <v>78</v>
      </c>
      <c r="P11" s="162">
        <v>1.897E-3</v>
      </c>
    </row>
    <row r="12" spans="1:21" x14ac:dyDescent="0.3">
      <c r="B12" s="143" t="s">
        <v>2</v>
      </c>
      <c r="C12" s="144"/>
      <c r="D12" s="144"/>
      <c r="E12" s="66">
        <v>44571</v>
      </c>
      <c r="F12" s="122"/>
      <c r="G12" s="122"/>
      <c r="H12" s="113"/>
      <c r="I12" s="114"/>
      <c r="J12" s="114"/>
      <c r="K12" s="114"/>
      <c r="L12" s="115"/>
      <c r="O12" s="15" t="s">
        <v>45</v>
      </c>
      <c r="P12" s="19">
        <v>0</v>
      </c>
      <c r="R12" s="15">
        <f>R10+1</f>
        <v>2</v>
      </c>
      <c r="S12" s="15">
        <v>1</v>
      </c>
      <c r="U12" s="15">
        <v>8</v>
      </c>
    </row>
    <row r="13" spans="1:21" hidden="1" x14ac:dyDescent="0.3">
      <c r="B13" s="143" t="s">
        <v>34</v>
      </c>
      <c r="C13" s="144"/>
      <c r="D13" s="144"/>
      <c r="E13" s="62">
        <v>0</v>
      </c>
      <c r="F13" s="111"/>
      <c r="G13" s="111"/>
      <c r="H13" s="113"/>
      <c r="I13" s="114"/>
      <c r="J13" s="114"/>
      <c r="K13" s="114"/>
      <c r="L13" s="115"/>
      <c r="P13" s="15">
        <v>0</v>
      </c>
      <c r="R13" s="15">
        <f t="shared" ref="R13:R22" si="0">R12+1</f>
        <v>3</v>
      </c>
      <c r="S13" s="15">
        <v>1</v>
      </c>
      <c r="U13" s="15">
        <v>9</v>
      </c>
    </row>
    <row r="14" spans="1:21" x14ac:dyDescent="0.3">
      <c r="B14" s="143" t="s">
        <v>53</v>
      </c>
      <c r="C14" s="144"/>
      <c r="D14" s="144"/>
      <c r="E14" s="67" t="s">
        <v>35</v>
      </c>
      <c r="F14" s="122"/>
      <c r="G14" s="122"/>
      <c r="H14" s="122"/>
      <c r="I14" s="122"/>
      <c r="J14" s="122"/>
      <c r="K14" s="122"/>
      <c r="L14" s="115"/>
      <c r="R14" s="15">
        <f t="shared" si="0"/>
        <v>4</v>
      </c>
      <c r="S14" s="15">
        <v>1</v>
      </c>
      <c r="U14" s="15">
        <v>10</v>
      </c>
    </row>
    <row r="15" spans="1:21" x14ac:dyDescent="0.3">
      <c r="B15" s="143" t="s">
        <v>56</v>
      </c>
      <c r="C15" s="144"/>
      <c r="D15" s="144"/>
      <c r="E15" s="106">
        <f>IF(DAY(O8)&gt;=E11,DATE(YEAR(O8),MONTH(O8)+1+E13,DAY(E11)),DATE(YEAR(O8),MONTH(O8)+E13,DAY(E11)))</f>
        <v>44594</v>
      </c>
      <c r="F15" s="136"/>
      <c r="G15" s="122"/>
      <c r="H15" s="122"/>
      <c r="I15" s="122"/>
      <c r="J15" s="122"/>
      <c r="K15" s="122"/>
      <c r="L15" s="115"/>
      <c r="R15" s="15">
        <f t="shared" si="0"/>
        <v>5</v>
      </c>
      <c r="S15" s="15">
        <v>1</v>
      </c>
      <c r="U15" s="15">
        <v>11</v>
      </c>
    </row>
    <row r="16" spans="1:21" x14ac:dyDescent="0.3">
      <c r="B16" s="167" t="s">
        <v>72</v>
      </c>
      <c r="C16" s="168"/>
      <c r="D16" s="168"/>
      <c r="E16" s="70">
        <v>0.35</v>
      </c>
      <c r="F16" s="123"/>
      <c r="G16" s="124">
        <f>ROUND((1+E16)^(1/12) -1,8)</f>
        <v>2.5324059999999999E-2</v>
      </c>
      <c r="H16" s="125"/>
      <c r="I16" s="114"/>
      <c r="J16" s="114"/>
      <c r="K16" s="114"/>
      <c r="L16" s="115"/>
      <c r="R16" s="15">
        <f t="shared" si="0"/>
        <v>6</v>
      </c>
      <c r="S16" s="15">
        <v>1</v>
      </c>
      <c r="U16" s="15">
        <v>12</v>
      </c>
    </row>
    <row r="17" spans="2:31" hidden="1" x14ac:dyDescent="0.3">
      <c r="B17" s="143" t="s">
        <v>28</v>
      </c>
      <c r="C17" s="144"/>
      <c r="D17" s="144"/>
      <c r="E17" s="71">
        <f>IFERROR(((1+E16)^(1/12)*(1+E25*(1+E26)*(1+19%)))^12-1,0)</f>
        <v>0.37468759556150144</v>
      </c>
      <c r="F17" s="126" t="s">
        <v>37</v>
      </c>
      <c r="G17" s="124">
        <f>(1+E24)^(1/30) -1</f>
        <v>4.2307369336302969E-5</v>
      </c>
      <c r="H17" s="113"/>
      <c r="I17" s="114"/>
      <c r="J17" s="114"/>
      <c r="K17" s="114"/>
      <c r="L17" s="115"/>
      <c r="R17" s="15">
        <f t="shared" si="0"/>
        <v>7</v>
      </c>
      <c r="S17" s="15">
        <f>IF($E$14="No",1,2)</f>
        <v>1</v>
      </c>
      <c r="U17" s="15">
        <v>13</v>
      </c>
    </row>
    <row r="18" spans="2:31" x14ac:dyDescent="0.3">
      <c r="B18" s="143" t="s">
        <v>64</v>
      </c>
      <c r="C18" s="144"/>
      <c r="D18" s="144"/>
      <c r="E18" s="67">
        <v>24</v>
      </c>
      <c r="F18" s="123"/>
      <c r="G18" s="127">
        <f>ROUND((1+G16)^(1/30)*(1+G17) -1,8)</f>
        <v>8.7631000000000004E-4</v>
      </c>
      <c r="H18" s="113"/>
      <c r="I18" s="114"/>
      <c r="J18" s="114"/>
      <c r="K18" s="114"/>
      <c r="L18" s="115"/>
      <c r="R18" s="15">
        <f t="shared" si="0"/>
        <v>8</v>
      </c>
      <c r="S18" s="15">
        <v>1</v>
      </c>
      <c r="U18" s="15">
        <v>14</v>
      </c>
    </row>
    <row r="19" spans="2:31" hidden="1" x14ac:dyDescent="0.3">
      <c r="B19" s="143" t="s">
        <v>39</v>
      </c>
      <c r="C19" s="144"/>
      <c r="D19" s="144"/>
      <c r="E19" s="72">
        <f>ROUND(E9/SUMPRODUCT(N34:N105,O34:O105),2)</f>
        <v>283.58</v>
      </c>
      <c r="F19" s="128"/>
      <c r="G19" s="165"/>
      <c r="H19" s="113"/>
      <c r="I19" s="114"/>
      <c r="J19" s="114"/>
      <c r="K19" s="114"/>
      <c r="L19" s="115"/>
      <c r="R19" s="15">
        <f t="shared" si="0"/>
        <v>9</v>
      </c>
      <c r="S19" s="15">
        <v>1</v>
      </c>
      <c r="U19" s="15">
        <v>15</v>
      </c>
    </row>
    <row r="20" spans="2:31" x14ac:dyDescent="0.3">
      <c r="B20" s="146" t="s">
        <v>73</v>
      </c>
      <c r="C20" s="147"/>
      <c r="D20" s="147"/>
      <c r="E20" s="68" t="s">
        <v>54</v>
      </c>
      <c r="F20" s="111"/>
      <c r="G20" s="164"/>
      <c r="H20" s="113"/>
      <c r="I20" s="114"/>
      <c r="J20" s="114"/>
      <c r="K20" s="114"/>
      <c r="L20" s="115"/>
      <c r="U20" s="15">
        <v>16</v>
      </c>
    </row>
    <row r="21" spans="2:31" x14ac:dyDescent="0.3">
      <c r="B21" s="143" t="s">
        <v>51</v>
      </c>
      <c r="C21" s="144"/>
      <c r="D21" s="144"/>
      <c r="E21" s="166">
        <f>IF(E20="Físico",VLOOKUP(E8,R28:S30,2,0),0)</f>
        <v>10</v>
      </c>
      <c r="F21" s="111"/>
      <c r="G21" s="164"/>
      <c r="H21" s="129"/>
      <c r="I21" s="111"/>
      <c r="J21" s="111"/>
      <c r="K21" s="111"/>
      <c r="L21" s="130"/>
      <c r="N21" s="15">
        <v>389.48</v>
      </c>
      <c r="R21" s="15">
        <f>R19+1</f>
        <v>10</v>
      </c>
      <c r="S21" s="15">
        <v>1</v>
      </c>
      <c r="U21" s="15">
        <v>17</v>
      </c>
    </row>
    <row r="22" spans="2:31" hidden="1" x14ac:dyDescent="0.3">
      <c r="B22" s="143" t="s">
        <v>26</v>
      </c>
      <c r="C22" s="144"/>
      <c r="D22" s="144"/>
      <c r="E22" s="63">
        <f>E19+E21</f>
        <v>293.58</v>
      </c>
      <c r="F22" s="111"/>
      <c r="G22" s="111"/>
      <c r="H22" s="129"/>
      <c r="I22" s="111"/>
      <c r="J22" s="111"/>
      <c r="K22" s="111"/>
      <c r="L22" s="130"/>
      <c r="R22" s="15">
        <f t="shared" si="0"/>
        <v>11</v>
      </c>
      <c r="S22" s="15">
        <v>1</v>
      </c>
      <c r="U22" s="15">
        <v>18</v>
      </c>
    </row>
    <row r="23" spans="2:31" x14ac:dyDescent="0.3">
      <c r="B23" s="50" t="s">
        <v>46</v>
      </c>
      <c r="C23" s="51"/>
      <c r="D23" s="58"/>
      <c r="E23" s="64" t="s">
        <v>47</v>
      </c>
      <c r="F23" s="111"/>
      <c r="G23" s="111"/>
      <c r="H23" s="129"/>
      <c r="I23" s="111"/>
      <c r="J23" s="111"/>
      <c r="K23" s="111"/>
      <c r="L23" s="130"/>
    </row>
    <row r="24" spans="2:31" ht="12.65" customHeight="1" thickBot="1" x14ac:dyDescent="0.35">
      <c r="B24" s="21" t="s">
        <v>74</v>
      </c>
      <c r="C24" s="22"/>
      <c r="D24" s="22"/>
      <c r="E24" s="163">
        <f>+IFERROR(VLOOKUP(E23,$O$10:$P$12,2,0),0)</f>
        <v>1.2700000000000001E-3</v>
      </c>
      <c r="F24" s="111"/>
      <c r="G24" s="111"/>
      <c r="H24" s="129"/>
      <c r="I24" s="111"/>
      <c r="J24" s="111"/>
      <c r="K24" s="111"/>
      <c r="L24" s="130"/>
      <c r="U24" s="15">
        <v>19</v>
      </c>
    </row>
    <row r="25" spans="2:31" hidden="1" x14ac:dyDescent="0.3">
      <c r="B25" s="23" t="s">
        <v>14</v>
      </c>
      <c r="C25" s="24"/>
      <c r="D25" s="25"/>
      <c r="E25" s="19">
        <f>IFERROR(VLOOKUP(E23,O10:P13,2,FALSE),0)</f>
        <v>1.2700000000000001E-3</v>
      </c>
      <c r="F25" s="126" t="s">
        <v>37</v>
      </c>
      <c r="G25" s="111"/>
      <c r="H25" s="129"/>
      <c r="I25" s="111"/>
      <c r="J25" s="111"/>
      <c r="K25" s="111"/>
      <c r="L25" s="130"/>
      <c r="R25" s="15">
        <f>R22+1</f>
        <v>12</v>
      </c>
      <c r="S25" s="15">
        <f>IF($E$14="No",1,2)</f>
        <v>1</v>
      </c>
      <c r="U25" s="15">
        <v>20</v>
      </c>
    </row>
    <row r="26" spans="2:31" ht="13.5" hidden="1" thickBot="1" x14ac:dyDescent="0.35">
      <c r="B26" s="26" t="s">
        <v>15</v>
      </c>
      <c r="C26" s="27"/>
      <c r="D26" s="28"/>
      <c r="E26" s="29"/>
      <c r="F26" s="126" t="s">
        <v>38</v>
      </c>
      <c r="G26" s="111"/>
      <c r="H26" s="129"/>
      <c r="I26" s="111"/>
      <c r="J26" s="111"/>
      <c r="K26" s="111"/>
      <c r="L26" s="130"/>
      <c r="U26" s="15">
        <v>21</v>
      </c>
    </row>
    <row r="27" spans="2:31" ht="13.5" thickBot="1" x14ac:dyDescent="0.35">
      <c r="B27" s="30"/>
      <c r="C27" s="31"/>
      <c r="D27" s="31"/>
      <c r="E27" s="32"/>
      <c r="F27" s="111"/>
      <c r="G27" s="111"/>
      <c r="H27" s="129"/>
      <c r="I27" s="111"/>
      <c r="J27" s="111"/>
      <c r="K27" s="111"/>
      <c r="L27" s="130"/>
      <c r="U27" s="15">
        <v>22</v>
      </c>
    </row>
    <row r="28" spans="2:31" ht="13.5" thickBot="1" x14ac:dyDescent="0.35">
      <c r="B28" s="150" t="s">
        <v>71</v>
      </c>
      <c r="C28" s="151"/>
      <c r="D28" s="152"/>
      <c r="E28" s="105">
        <f>(1+F28)^12-1</f>
        <v>0.41664343174682261</v>
      </c>
      <c r="F28" s="131">
        <f>IRR(L33:L81,10%)</f>
        <v>2.9449497673683656E-2</v>
      </c>
      <c r="G28" s="132"/>
      <c r="H28" s="133"/>
      <c r="I28" s="133"/>
      <c r="J28" s="134">
        <f>SUM(G33:G105)</f>
        <v>1716.7200000000003</v>
      </c>
      <c r="K28" s="111"/>
      <c r="L28" s="130"/>
      <c r="Q28" s="15" t="s">
        <v>54</v>
      </c>
      <c r="R28" s="15" t="s">
        <v>43</v>
      </c>
      <c r="S28" s="15">
        <v>2.5</v>
      </c>
      <c r="U28" s="15">
        <v>23</v>
      </c>
    </row>
    <row r="29" spans="2:31" ht="13.5" thickBot="1" x14ac:dyDescent="0.35">
      <c r="B29" s="33"/>
      <c r="C29" s="20"/>
      <c r="D29" s="20"/>
      <c r="E29" s="20"/>
      <c r="F29" s="129"/>
      <c r="G29" s="129"/>
      <c r="H29" s="129"/>
      <c r="I29" s="129"/>
      <c r="J29" s="129"/>
      <c r="K29" s="129"/>
      <c r="L29" s="130"/>
      <c r="Q29" s="15" t="s">
        <v>55</v>
      </c>
      <c r="R29" s="15" t="s">
        <v>44</v>
      </c>
      <c r="S29" s="15">
        <v>10</v>
      </c>
      <c r="U29" s="15">
        <v>24</v>
      </c>
    </row>
    <row r="30" spans="2:31" ht="13.5" hidden="1" thickBot="1" x14ac:dyDescent="0.35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16"/>
      <c r="R30" s="15" t="s">
        <v>35</v>
      </c>
      <c r="S30" s="15">
        <v>0</v>
      </c>
      <c r="U30" s="15">
        <v>25</v>
      </c>
    </row>
    <row r="31" spans="2:31" s="37" customFormat="1" ht="45" customHeight="1" thickBot="1" x14ac:dyDescent="0.35">
      <c r="B31" s="73" t="s">
        <v>60</v>
      </c>
      <c r="C31" s="74" t="s">
        <v>1</v>
      </c>
      <c r="D31" s="75" t="s">
        <v>61</v>
      </c>
      <c r="E31" s="76" t="s">
        <v>13</v>
      </c>
      <c r="F31" s="77" t="s">
        <v>59</v>
      </c>
      <c r="G31" s="78" t="s">
        <v>58</v>
      </c>
      <c r="H31" s="153" t="s">
        <v>57</v>
      </c>
      <c r="I31" s="153"/>
      <c r="J31" s="74" t="s">
        <v>62</v>
      </c>
      <c r="K31" s="77" t="s">
        <v>51</v>
      </c>
      <c r="L31" s="79" t="s">
        <v>63</v>
      </c>
      <c r="U31" s="15">
        <v>26</v>
      </c>
      <c r="V31" s="145" t="s">
        <v>27</v>
      </c>
      <c r="W31" s="145"/>
      <c r="AD31" s="37" t="s">
        <v>41</v>
      </c>
      <c r="AE31" s="37" t="s">
        <v>42</v>
      </c>
    </row>
    <row r="32" spans="2:31" s="38" customFormat="1" ht="13.4" hidden="1" customHeight="1" x14ac:dyDescent="0.3">
      <c r="B32" s="80"/>
      <c r="C32" s="81"/>
      <c r="D32" s="148" t="s">
        <v>40</v>
      </c>
      <c r="E32" s="149"/>
      <c r="F32" s="82">
        <f t="shared" ref="F32:G32" si="1">SUM(F34:F105)</f>
        <v>5000</v>
      </c>
      <c r="G32" s="83">
        <f t="shared" si="1"/>
        <v>1716.7200000000003</v>
      </c>
      <c r="H32" s="83">
        <f>SUM(H34:H105)</f>
        <v>86.089999999999989</v>
      </c>
      <c r="I32" s="84">
        <f>SUM(I34:I105)</f>
        <v>0</v>
      </c>
      <c r="J32" s="85">
        <f>SUM(J34:J105)</f>
        <v>6802.8099999999995</v>
      </c>
      <c r="K32" s="86">
        <f>SUM(K34:K105)</f>
        <v>240</v>
      </c>
      <c r="L32" s="87">
        <f>SUM(L34:L105)</f>
        <v>7042.81</v>
      </c>
      <c r="U32" s="15">
        <v>27</v>
      </c>
    </row>
    <row r="33" spans="2:31" hidden="1" x14ac:dyDescent="0.3">
      <c r="B33" s="88">
        <v>0</v>
      </c>
      <c r="C33" s="89">
        <f>+E12</f>
        <v>44571</v>
      </c>
      <c r="D33" s="90">
        <f>E9</f>
        <v>5000</v>
      </c>
      <c r="E33" s="91">
        <f t="shared" ref="E33:E64" si="2">+D33-F33</f>
        <v>5000</v>
      </c>
      <c r="F33" s="92"/>
      <c r="G33" s="92"/>
      <c r="H33" s="92"/>
      <c r="I33" s="92"/>
      <c r="J33" s="93"/>
      <c r="K33" s="92"/>
      <c r="L33" s="94">
        <f>-(D33-H33)</f>
        <v>-5000</v>
      </c>
      <c r="N33" s="40">
        <f>IF(B33&lt;=$E$18,1/(1+$E$17)^((C33-$C$33)/360),0)</f>
        <v>1</v>
      </c>
      <c r="O33" s="41"/>
      <c r="P33" s="42">
        <f t="shared" ref="P33:P64" si="3">C33-$C$33</f>
        <v>0</v>
      </c>
      <c r="U33" s="15">
        <v>28</v>
      </c>
      <c r="Y33" s="43">
        <f>E12</f>
        <v>44571</v>
      </c>
      <c r="Z33" s="43">
        <f>Y33</f>
        <v>44571</v>
      </c>
      <c r="AA33" s="43">
        <f>Z33</f>
        <v>44571</v>
      </c>
      <c r="AC33" s="44">
        <v>0</v>
      </c>
      <c r="AD33" s="43">
        <f>C33</f>
        <v>44571</v>
      </c>
      <c r="AE33" s="43">
        <f>C33</f>
        <v>44571</v>
      </c>
    </row>
    <row r="34" spans="2:31" x14ac:dyDescent="0.3">
      <c r="B34" s="88">
        <v>1</v>
      </c>
      <c r="C34" s="89">
        <f>$E$15</f>
        <v>44594</v>
      </c>
      <c r="D34" s="90">
        <f t="shared" ref="D34:D65" si="4">+E33</f>
        <v>5000</v>
      </c>
      <c r="E34" s="91">
        <f t="shared" si="2"/>
        <v>4818.08</v>
      </c>
      <c r="F34" s="92">
        <f t="shared" ref="F34:F65" si="5">IF(B34&lt;$E$18,ROUND($E$19*O34,2)-G34-H34-I34,D34)</f>
        <v>181.91999999999996</v>
      </c>
      <c r="G34" s="92">
        <f t="shared" ref="G34:G65" si="6">IF($E$19*O34-I34-H34&lt;ROUND(R34,2),$E$19*O34-I34-H34,ROUND(R34,2))</f>
        <v>96.79</v>
      </c>
      <c r="H34" s="92">
        <f>ROUND(V34,2)</f>
        <v>4.87</v>
      </c>
      <c r="I34" s="92">
        <v>0</v>
      </c>
      <c r="J34" s="95">
        <f>+G34+F34+H34</f>
        <v>283.58</v>
      </c>
      <c r="K34" s="92">
        <f t="shared" ref="K34:K65" si="7">+IF(B34&lt;=$E$18,$E$21,0)</f>
        <v>10</v>
      </c>
      <c r="L34" s="96">
        <f>SUM(J34,K34)</f>
        <v>293.58</v>
      </c>
      <c r="N34" s="40">
        <f t="shared" ref="N34:N65" si="8">IF(B34&lt;=$E$18,ROUND((1+$G$18)^(-P34),8),0)</f>
        <v>0.98005527999999997</v>
      </c>
      <c r="O34" s="45">
        <f t="shared" ref="O34:O65" si="9">VLOOKUP(MONTH(C34),$R$10:$S$25,2,0)</f>
        <v>1</v>
      </c>
      <c r="P34" s="42">
        <f t="shared" si="3"/>
        <v>23</v>
      </c>
      <c r="R34" s="46">
        <f t="shared" ref="R34" si="10">D34*((1+$E$16)^((C34-C33)/360)-1)+S33*((1+$E$16)^((C34-C33)/360)-0)</f>
        <v>96.791690062056901</v>
      </c>
      <c r="S34" s="47">
        <f>ROUND(R34-G34,2)</f>
        <v>0</v>
      </c>
      <c r="U34" s="15">
        <v>29</v>
      </c>
      <c r="V34" s="48">
        <f t="shared" ref="V34:V81" si="11">ROUND(IF(B34&lt;=$E$18,D34*((1+$G$17)^(P34-P33) -1),0),2)</f>
        <v>4.87</v>
      </c>
      <c r="W34" s="48"/>
      <c r="Y34" s="43">
        <f>E15</f>
        <v>44594</v>
      </c>
      <c r="Z34" s="43">
        <f>Y34</f>
        <v>44594</v>
      </c>
      <c r="AA34" s="43">
        <f>Z34</f>
        <v>44594</v>
      </c>
      <c r="AC34" s="44">
        <v>1</v>
      </c>
      <c r="AD34" s="43">
        <f>C34</f>
        <v>44594</v>
      </c>
      <c r="AE34" s="43">
        <f>C34</f>
        <v>44594</v>
      </c>
    </row>
    <row r="35" spans="2:31" x14ac:dyDescent="0.3">
      <c r="B35" s="88">
        <v>2</v>
      </c>
      <c r="C35" s="89">
        <f>IF($E$10="Año Base 360",AE35,AD35)</f>
        <v>44622</v>
      </c>
      <c r="D35" s="90">
        <f t="shared" si="4"/>
        <v>4818.08</v>
      </c>
      <c r="E35" s="91">
        <f t="shared" si="2"/>
        <v>4653.99</v>
      </c>
      <c r="F35" s="92">
        <f t="shared" si="5"/>
        <v>164.08999999999997</v>
      </c>
      <c r="G35" s="92">
        <f t="shared" si="6"/>
        <v>113.78</v>
      </c>
      <c r="H35" s="92">
        <f t="shared" ref="H35:H98" si="12">ROUND(V35,2)</f>
        <v>5.71</v>
      </c>
      <c r="I35" s="92">
        <v>0</v>
      </c>
      <c r="J35" s="95">
        <f t="shared" ref="J35:J98" si="13">+G35+F35+H35+I35</f>
        <v>283.58</v>
      </c>
      <c r="K35" s="92">
        <f>+IF(B35&lt;=$E$18,$E$21,0)</f>
        <v>10</v>
      </c>
      <c r="L35" s="96">
        <f t="shared" ref="L35:L98" si="14">SUM(J35,K35)</f>
        <v>293.58</v>
      </c>
      <c r="N35" s="40">
        <f t="shared" si="8"/>
        <v>0.95631087000000004</v>
      </c>
      <c r="O35" s="45">
        <f t="shared" si="9"/>
        <v>1</v>
      </c>
      <c r="P35" s="42">
        <f t="shared" si="3"/>
        <v>51</v>
      </c>
      <c r="R35" s="46">
        <f>+IF(B35&lt;=$E$18,D35*((1+$E$16)^((C35-C34)/360)-1)+S34*((1+$E$16)^((C35-C34)/360)-0),0)</f>
        <v>113.78383653368088</v>
      </c>
      <c r="S35" s="47">
        <f t="shared" ref="S35:S98" si="15">ROUND(R35-G35,2)</f>
        <v>0</v>
      </c>
      <c r="U35" s="15">
        <v>30</v>
      </c>
      <c r="V35" s="48">
        <f t="shared" si="11"/>
        <v>5.71</v>
      </c>
      <c r="W35" s="48"/>
      <c r="Y35" s="43">
        <f t="shared" ref="Y35:Y81" si="16">IF($E$10="Mensual",C34+30,DATE(YEAR(C34),MONTH(C34)+1,DAY(C34)))</f>
        <v>44622</v>
      </c>
      <c r="Z35" s="43">
        <f t="shared" ref="Z35:Z81" si="17">IF($G$10=31,DATE(YEAR(Z34),MONTH(Z34)+2,0),Y35)</f>
        <v>44622</v>
      </c>
      <c r="AA35" s="43">
        <f t="shared" ref="AA35:AA81" si="18">IF(AND(MONTH(AA34)+1=2,OR($G$10=29,$G$10=30)),DATE(YEAR(AA34),MONTH(AA34)+2,0),DATE(YEAR(AA34),MONTH(AA34)+1,DAY($G$10)))</f>
        <v>44622</v>
      </c>
      <c r="AC35" s="44">
        <v>2</v>
      </c>
      <c r="AD35" s="43">
        <f t="shared" ref="AD35:AD81" si="19">IF(DAY(EOMONTH(C34,1))&lt;$G$10,DATE(YEAR(C34),MONTH(C34)+2,0),DATE(YEAR(C34),MONTH(C34)+1,DAY($G$10)))</f>
        <v>44622</v>
      </c>
      <c r="AE35" s="43">
        <f>AE34+30</f>
        <v>44624</v>
      </c>
    </row>
    <row r="36" spans="2:31" x14ac:dyDescent="0.3">
      <c r="B36" s="88">
        <v>3</v>
      </c>
      <c r="C36" s="89">
        <f t="shared" ref="C36:C99" si="20">IF($E$10="Año Base 360",AE36,AD36)</f>
        <v>44653</v>
      </c>
      <c r="D36" s="90">
        <f t="shared" si="4"/>
        <v>4653.99</v>
      </c>
      <c r="E36" s="91">
        <f t="shared" si="2"/>
        <v>4498.3599999999997</v>
      </c>
      <c r="F36" s="92">
        <f t="shared" si="5"/>
        <v>155.62999999999997</v>
      </c>
      <c r="G36" s="92">
        <f t="shared" si="6"/>
        <v>121.84</v>
      </c>
      <c r="H36" s="92">
        <f t="shared" si="12"/>
        <v>6.11</v>
      </c>
      <c r="I36" s="92">
        <v>0</v>
      </c>
      <c r="J36" s="95">
        <f t="shared" si="13"/>
        <v>283.58</v>
      </c>
      <c r="K36" s="92">
        <f t="shared" si="7"/>
        <v>10</v>
      </c>
      <c r="L36" s="96">
        <f t="shared" si="14"/>
        <v>293.58</v>
      </c>
      <c r="N36" s="40">
        <f t="shared" si="8"/>
        <v>0.93069287000000001</v>
      </c>
      <c r="O36" s="45">
        <f t="shared" si="9"/>
        <v>1</v>
      </c>
      <c r="P36" s="42">
        <f t="shared" si="3"/>
        <v>82</v>
      </c>
      <c r="R36" s="46">
        <f t="shared" ref="R36:R99" si="21">+IF(B36&lt;=$E$18,D36*((1+$E$16)^((C36-C35)/360)-1)+S35*((1+$E$16)^((C36-C35)/360)-0),0)</f>
        <v>121.83749401284653</v>
      </c>
      <c r="S36" s="47">
        <f t="shared" si="15"/>
        <v>0</v>
      </c>
      <c r="U36" s="15">
        <v>31</v>
      </c>
      <c r="V36" s="48">
        <f t="shared" si="11"/>
        <v>6.11</v>
      </c>
      <c r="W36" s="48"/>
      <c r="Y36" s="43">
        <f t="shared" si="16"/>
        <v>44653</v>
      </c>
      <c r="Z36" s="43">
        <f t="shared" si="17"/>
        <v>44653</v>
      </c>
      <c r="AA36" s="43">
        <f t="shared" si="18"/>
        <v>44653</v>
      </c>
      <c r="AC36" s="44">
        <v>3</v>
      </c>
      <c r="AD36" s="43">
        <f t="shared" si="19"/>
        <v>44653</v>
      </c>
      <c r="AE36" s="43">
        <f t="shared" ref="AE36:AE81" si="22">AE35+30</f>
        <v>44654</v>
      </c>
    </row>
    <row r="37" spans="2:31" x14ac:dyDescent="0.3">
      <c r="B37" s="88">
        <v>4</v>
      </c>
      <c r="C37" s="89">
        <f t="shared" si="20"/>
        <v>44683</v>
      </c>
      <c r="D37" s="90">
        <f t="shared" si="4"/>
        <v>4498.3599999999997</v>
      </c>
      <c r="E37" s="91">
        <f t="shared" si="2"/>
        <v>4334.41</v>
      </c>
      <c r="F37" s="92">
        <f t="shared" si="5"/>
        <v>163.94999999999996</v>
      </c>
      <c r="G37" s="92">
        <f t="shared" si="6"/>
        <v>113.92</v>
      </c>
      <c r="H37" s="92">
        <f t="shared" si="12"/>
        <v>5.71</v>
      </c>
      <c r="I37" s="92">
        <v>0</v>
      </c>
      <c r="J37" s="95">
        <f t="shared" si="13"/>
        <v>283.57999999999993</v>
      </c>
      <c r="K37" s="92">
        <f t="shared" si="7"/>
        <v>10</v>
      </c>
      <c r="L37" s="96">
        <f t="shared" si="14"/>
        <v>293.57999999999993</v>
      </c>
      <c r="N37" s="40">
        <f t="shared" si="8"/>
        <v>0.90655485000000002</v>
      </c>
      <c r="O37" s="45">
        <f t="shared" si="9"/>
        <v>1</v>
      </c>
      <c r="P37" s="42">
        <f t="shared" si="3"/>
        <v>112</v>
      </c>
      <c r="R37" s="46">
        <f t="shared" si="21"/>
        <v>113.91672616411003</v>
      </c>
      <c r="S37" s="47">
        <f t="shared" si="15"/>
        <v>0</v>
      </c>
      <c r="V37" s="48">
        <f t="shared" si="11"/>
        <v>5.71</v>
      </c>
      <c r="W37" s="48"/>
      <c r="Y37" s="43">
        <f t="shared" si="16"/>
        <v>44683</v>
      </c>
      <c r="Z37" s="43">
        <f t="shared" si="17"/>
        <v>44683</v>
      </c>
      <c r="AA37" s="43">
        <f t="shared" si="18"/>
        <v>44683</v>
      </c>
      <c r="AC37" s="44">
        <v>4</v>
      </c>
      <c r="AD37" s="43">
        <f t="shared" si="19"/>
        <v>44683</v>
      </c>
      <c r="AE37" s="43">
        <f t="shared" si="22"/>
        <v>44684</v>
      </c>
    </row>
    <row r="38" spans="2:31" x14ac:dyDescent="0.3">
      <c r="B38" s="88">
        <v>5</v>
      </c>
      <c r="C38" s="89">
        <f t="shared" si="20"/>
        <v>44714</v>
      </c>
      <c r="D38" s="90">
        <f t="shared" si="4"/>
        <v>4334.41</v>
      </c>
      <c r="E38" s="91">
        <f t="shared" si="2"/>
        <v>4169.99</v>
      </c>
      <c r="F38" s="92">
        <f t="shared" si="5"/>
        <v>164.42</v>
      </c>
      <c r="G38" s="92">
        <f t="shared" si="6"/>
        <v>113.47</v>
      </c>
      <c r="H38" s="92">
        <f t="shared" si="12"/>
        <v>5.69</v>
      </c>
      <c r="I38" s="92">
        <v>0</v>
      </c>
      <c r="J38" s="95">
        <f t="shared" si="13"/>
        <v>283.58</v>
      </c>
      <c r="K38" s="92">
        <f t="shared" si="7"/>
        <v>10</v>
      </c>
      <c r="L38" s="96">
        <f t="shared" si="14"/>
        <v>293.58</v>
      </c>
      <c r="N38" s="40">
        <f t="shared" si="8"/>
        <v>0.88226972999999997</v>
      </c>
      <c r="O38" s="45">
        <f t="shared" si="9"/>
        <v>1</v>
      </c>
      <c r="P38" s="42">
        <f t="shared" si="3"/>
        <v>143</v>
      </c>
      <c r="R38" s="46">
        <f t="shared" si="21"/>
        <v>113.47116182549215</v>
      </c>
      <c r="S38" s="47">
        <f t="shared" si="15"/>
        <v>0</v>
      </c>
      <c r="V38" s="48">
        <f t="shared" si="11"/>
        <v>5.69</v>
      </c>
      <c r="W38" s="48"/>
      <c r="Y38" s="43">
        <f t="shared" si="16"/>
        <v>44714</v>
      </c>
      <c r="Z38" s="43">
        <f t="shared" si="17"/>
        <v>44714</v>
      </c>
      <c r="AA38" s="43">
        <f t="shared" si="18"/>
        <v>44714</v>
      </c>
      <c r="AC38" s="44">
        <v>5</v>
      </c>
      <c r="AD38" s="43">
        <f t="shared" si="19"/>
        <v>44714</v>
      </c>
      <c r="AE38" s="43">
        <f t="shared" si="22"/>
        <v>44714</v>
      </c>
    </row>
    <row r="39" spans="2:31" x14ac:dyDescent="0.3">
      <c r="B39" s="88">
        <v>6</v>
      </c>
      <c r="C39" s="89">
        <f t="shared" si="20"/>
        <v>44744</v>
      </c>
      <c r="D39" s="90">
        <f t="shared" si="4"/>
        <v>4169.99</v>
      </c>
      <c r="E39" s="91">
        <f t="shared" si="2"/>
        <v>3997.31</v>
      </c>
      <c r="F39" s="92">
        <f t="shared" si="5"/>
        <v>172.67999999999998</v>
      </c>
      <c r="G39" s="92">
        <f t="shared" si="6"/>
        <v>105.6</v>
      </c>
      <c r="H39" s="92">
        <f t="shared" si="12"/>
        <v>5.3</v>
      </c>
      <c r="I39" s="92">
        <v>0</v>
      </c>
      <c r="J39" s="95">
        <f t="shared" si="13"/>
        <v>283.58</v>
      </c>
      <c r="K39" s="92">
        <f t="shared" si="7"/>
        <v>10</v>
      </c>
      <c r="L39" s="96">
        <f t="shared" si="14"/>
        <v>293.58</v>
      </c>
      <c r="N39" s="40">
        <f t="shared" si="8"/>
        <v>0.85938758999999998</v>
      </c>
      <c r="O39" s="45">
        <f t="shared" si="9"/>
        <v>1</v>
      </c>
      <c r="P39" s="42">
        <f t="shared" si="3"/>
        <v>173</v>
      </c>
      <c r="R39" s="46">
        <f t="shared" si="21"/>
        <v>105.60106548543853</v>
      </c>
      <c r="S39" s="47">
        <f t="shared" si="15"/>
        <v>0</v>
      </c>
      <c r="V39" s="48">
        <f t="shared" si="11"/>
        <v>5.3</v>
      </c>
      <c r="W39" s="48"/>
      <c r="Y39" s="43">
        <f t="shared" si="16"/>
        <v>44744</v>
      </c>
      <c r="Z39" s="43">
        <f t="shared" si="17"/>
        <v>44744</v>
      </c>
      <c r="AA39" s="43">
        <f t="shared" si="18"/>
        <v>44744</v>
      </c>
      <c r="AC39" s="44">
        <v>6</v>
      </c>
      <c r="AD39" s="43">
        <f t="shared" si="19"/>
        <v>44744</v>
      </c>
      <c r="AE39" s="43">
        <f t="shared" si="22"/>
        <v>44744</v>
      </c>
    </row>
    <row r="40" spans="2:31" x14ac:dyDescent="0.3">
      <c r="B40" s="88">
        <v>7</v>
      </c>
      <c r="C40" s="89">
        <f t="shared" si="20"/>
        <v>44775</v>
      </c>
      <c r="D40" s="90">
        <f t="shared" si="4"/>
        <v>3997.31</v>
      </c>
      <c r="E40" s="91">
        <f t="shared" si="2"/>
        <v>3823.63</v>
      </c>
      <c r="F40" s="92">
        <f t="shared" si="5"/>
        <v>173.67999999999998</v>
      </c>
      <c r="G40" s="92">
        <f t="shared" si="6"/>
        <v>104.65</v>
      </c>
      <c r="H40" s="92">
        <f t="shared" si="12"/>
        <v>5.25</v>
      </c>
      <c r="I40" s="92">
        <v>0</v>
      </c>
      <c r="J40" s="95">
        <f t="shared" si="13"/>
        <v>283.58</v>
      </c>
      <c r="K40" s="92">
        <f t="shared" si="7"/>
        <v>10</v>
      </c>
      <c r="L40" s="96">
        <f t="shared" si="14"/>
        <v>293.58</v>
      </c>
      <c r="N40" s="40">
        <f t="shared" si="8"/>
        <v>0.83636600000000005</v>
      </c>
      <c r="O40" s="45">
        <f t="shared" si="9"/>
        <v>1</v>
      </c>
      <c r="P40" s="42">
        <f t="shared" si="3"/>
        <v>204</v>
      </c>
      <c r="R40" s="46">
        <f t="shared" si="21"/>
        <v>104.64617096136683</v>
      </c>
      <c r="S40" s="47">
        <f t="shared" si="15"/>
        <v>0</v>
      </c>
      <c r="V40" s="48">
        <f t="shared" si="11"/>
        <v>5.25</v>
      </c>
      <c r="W40" s="48"/>
      <c r="Y40" s="43">
        <f t="shared" si="16"/>
        <v>44775</v>
      </c>
      <c r="Z40" s="43">
        <f t="shared" si="17"/>
        <v>44775</v>
      </c>
      <c r="AA40" s="43">
        <f t="shared" si="18"/>
        <v>44775</v>
      </c>
      <c r="AC40" s="44">
        <v>7</v>
      </c>
      <c r="AD40" s="43">
        <f t="shared" si="19"/>
        <v>44775</v>
      </c>
      <c r="AE40" s="43">
        <f t="shared" si="22"/>
        <v>44774</v>
      </c>
    </row>
    <row r="41" spans="2:31" x14ac:dyDescent="0.3">
      <c r="B41" s="88">
        <v>8</v>
      </c>
      <c r="C41" s="89">
        <f t="shared" si="20"/>
        <v>44806</v>
      </c>
      <c r="D41" s="90">
        <f t="shared" si="4"/>
        <v>3823.63</v>
      </c>
      <c r="E41" s="91">
        <f t="shared" si="2"/>
        <v>3645.17</v>
      </c>
      <c r="F41" s="92">
        <f t="shared" si="5"/>
        <v>178.45999999999998</v>
      </c>
      <c r="G41" s="92">
        <f t="shared" si="6"/>
        <v>100.1</v>
      </c>
      <c r="H41" s="92">
        <f t="shared" si="12"/>
        <v>5.0199999999999996</v>
      </c>
      <c r="I41" s="92">
        <v>0</v>
      </c>
      <c r="J41" s="95">
        <f t="shared" si="13"/>
        <v>283.57999999999993</v>
      </c>
      <c r="K41" s="92">
        <f t="shared" si="7"/>
        <v>10</v>
      </c>
      <c r="L41" s="96">
        <f t="shared" si="14"/>
        <v>293.57999999999993</v>
      </c>
      <c r="N41" s="40">
        <f t="shared" si="8"/>
        <v>0.81396111999999998</v>
      </c>
      <c r="O41" s="45">
        <f t="shared" si="9"/>
        <v>1</v>
      </c>
      <c r="P41" s="42">
        <f t="shared" si="3"/>
        <v>235</v>
      </c>
      <c r="R41" s="46">
        <f t="shared" si="21"/>
        <v>100.09937649894832</v>
      </c>
      <c r="S41" s="47">
        <f t="shared" si="15"/>
        <v>0</v>
      </c>
      <c r="V41" s="48">
        <f t="shared" si="11"/>
        <v>5.0199999999999996</v>
      </c>
      <c r="W41" s="48"/>
      <c r="Y41" s="43">
        <f t="shared" si="16"/>
        <v>44806</v>
      </c>
      <c r="Z41" s="43">
        <f t="shared" si="17"/>
        <v>44806</v>
      </c>
      <c r="AA41" s="43">
        <f t="shared" si="18"/>
        <v>44806</v>
      </c>
      <c r="AC41" s="44">
        <v>8</v>
      </c>
      <c r="AD41" s="43">
        <f t="shared" si="19"/>
        <v>44806</v>
      </c>
      <c r="AE41" s="43">
        <f t="shared" si="22"/>
        <v>44804</v>
      </c>
    </row>
    <row r="42" spans="2:31" x14ac:dyDescent="0.3">
      <c r="B42" s="88">
        <v>9</v>
      </c>
      <c r="C42" s="89">
        <f t="shared" si="20"/>
        <v>44836</v>
      </c>
      <c r="D42" s="90">
        <f t="shared" si="4"/>
        <v>3645.17</v>
      </c>
      <c r="E42" s="91">
        <f t="shared" si="2"/>
        <v>3458.53</v>
      </c>
      <c r="F42" s="92">
        <f t="shared" si="5"/>
        <v>186.64</v>
      </c>
      <c r="G42" s="92">
        <f t="shared" si="6"/>
        <v>92.31</v>
      </c>
      <c r="H42" s="92">
        <f t="shared" si="12"/>
        <v>4.63</v>
      </c>
      <c r="I42" s="92">
        <v>0</v>
      </c>
      <c r="J42" s="95">
        <f t="shared" si="13"/>
        <v>283.58</v>
      </c>
      <c r="K42" s="92">
        <f t="shared" si="7"/>
        <v>10</v>
      </c>
      <c r="L42" s="96">
        <f t="shared" si="14"/>
        <v>293.58</v>
      </c>
      <c r="N42" s="40">
        <f t="shared" si="8"/>
        <v>0.79285061000000001</v>
      </c>
      <c r="O42" s="45">
        <f t="shared" si="9"/>
        <v>1</v>
      </c>
      <c r="P42" s="42">
        <f t="shared" si="3"/>
        <v>265</v>
      </c>
      <c r="R42" s="46">
        <f t="shared" si="21"/>
        <v>92.310493760310209</v>
      </c>
      <c r="S42" s="47">
        <f t="shared" si="15"/>
        <v>0</v>
      </c>
      <c r="V42" s="48">
        <f t="shared" si="11"/>
        <v>4.63</v>
      </c>
      <c r="W42" s="48"/>
      <c r="Y42" s="43">
        <f t="shared" si="16"/>
        <v>44836</v>
      </c>
      <c r="Z42" s="43">
        <f t="shared" si="17"/>
        <v>44836</v>
      </c>
      <c r="AA42" s="43">
        <f t="shared" si="18"/>
        <v>44836</v>
      </c>
      <c r="AC42" s="44">
        <v>9</v>
      </c>
      <c r="AD42" s="43">
        <f t="shared" si="19"/>
        <v>44836</v>
      </c>
      <c r="AE42" s="43">
        <f t="shared" si="22"/>
        <v>44834</v>
      </c>
    </row>
    <row r="43" spans="2:31" x14ac:dyDescent="0.3">
      <c r="B43" s="88">
        <v>10</v>
      </c>
      <c r="C43" s="89">
        <f t="shared" si="20"/>
        <v>44867</v>
      </c>
      <c r="D43" s="90">
        <f t="shared" si="4"/>
        <v>3458.53</v>
      </c>
      <c r="E43" s="91">
        <f t="shared" si="2"/>
        <v>3270.03</v>
      </c>
      <c r="F43" s="92">
        <f t="shared" si="5"/>
        <v>188.49999999999997</v>
      </c>
      <c r="G43" s="92">
        <f t="shared" si="6"/>
        <v>90.54</v>
      </c>
      <c r="H43" s="92">
        <f t="shared" si="12"/>
        <v>4.54</v>
      </c>
      <c r="I43" s="92">
        <v>0</v>
      </c>
      <c r="J43" s="95">
        <f t="shared" si="13"/>
        <v>283.58</v>
      </c>
      <c r="K43" s="92">
        <f t="shared" si="7"/>
        <v>10</v>
      </c>
      <c r="L43" s="96">
        <f t="shared" si="14"/>
        <v>293.58</v>
      </c>
      <c r="N43" s="40">
        <f t="shared" si="8"/>
        <v>0.77161144000000004</v>
      </c>
      <c r="O43" s="45">
        <f t="shared" si="9"/>
        <v>1</v>
      </c>
      <c r="P43" s="42">
        <f t="shared" si="3"/>
        <v>296</v>
      </c>
      <c r="R43" s="46">
        <f t="shared" si="21"/>
        <v>90.541369484732499</v>
      </c>
      <c r="S43" s="47">
        <f t="shared" si="15"/>
        <v>0</v>
      </c>
      <c r="V43" s="48">
        <f t="shared" si="11"/>
        <v>4.54</v>
      </c>
      <c r="W43" s="48"/>
      <c r="Y43" s="43">
        <f t="shared" si="16"/>
        <v>44867</v>
      </c>
      <c r="Z43" s="43">
        <f t="shared" si="17"/>
        <v>44867</v>
      </c>
      <c r="AA43" s="43">
        <f t="shared" si="18"/>
        <v>44867</v>
      </c>
      <c r="AC43" s="44">
        <v>10</v>
      </c>
      <c r="AD43" s="43">
        <f t="shared" si="19"/>
        <v>44867</v>
      </c>
      <c r="AE43" s="43">
        <f t="shared" si="22"/>
        <v>44864</v>
      </c>
    </row>
    <row r="44" spans="2:31" x14ac:dyDescent="0.3">
      <c r="B44" s="88">
        <v>11</v>
      </c>
      <c r="C44" s="89">
        <f t="shared" si="20"/>
        <v>44897</v>
      </c>
      <c r="D44" s="90">
        <f t="shared" si="4"/>
        <v>3270.03</v>
      </c>
      <c r="E44" s="91">
        <f t="shared" si="2"/>
        <v>3073.4100000000003</v>
      </c>
      <c r="F44" s="92">
        <f t="shared" si="5"/>
        <v>196.61999999999998</v>
      </c>
      <c r="G44" s="92">
        <f t="shared" si="6"/>
        <v>82.81</v>
      </c>
      <c r="H44" s="92">
        <f t="shared" si="12"/>
        <v>4.1500000000000004</v>
      </c>
      <c r="I44" s="92">
        <v>0</v>
      </c>
      <c r="J44" s="95">
        <f t="shared" si="13"/>
        <v>283.57999999999993</v>
      </c>
      <c r="K44" s="92">
        <f t="shared" si="7"/>
        <v>10</v>
      </c>
      <c r="L44" s="96">
        <f t="shared" si="14"/>
        <v>293.57999999999993</v>
      </c>
      <c r="N44" s="40">
        <f t="shared" si="8"/>
        <v>0.75159929000000003</v>
      </c>
      <c r="O44" s="45">
        <f t="shared" si="9"/>
        <v>1</v>
      </c>
      <c r="P44" s="42">
        <f t="shared" si="3"/>
        <v>326</v>
      </c>
      <c r="R44" s="46">
        <f t="shared" si="21"/>
        <v>82.810426924128976</v>
      </c>
      <c r="S44" s="47">
        <f t="shared" si="15"/>
        <v>0</v>
      </c>
      <c r="V44" s="48">
        <f t="shared" si="11"/>
        <v>4.1500000000000004</v>
      </c>
      <c r="W44" s="48"/>
      <c r="Y44" s="43">
        <f t="shared" si="16"/>
        <v>44897</v>
      </c>
      <c r="Z44" s="43">
        <f t="shared" si="17"/>
        <v>44897</v>
      </c>
      <c r="AA44" s="43">
        <f t="shared" si="18"/>
        <v>44897</v>
      </c>
      <c r="AC44" s="44">
        <v>11</v>
      </c>
      <c r="AD44" s="43">
        <f t="shared" si="19"/>
        <v>44897</v>
      </c>
      <c r="AE44" s="43">
        <f t="shared" si="22"/>
        <v>44894</v>
      </c>
    </row>
    <row r="45" spans="2:31" x14ac:dyDescent="0.3">
      <c r="B45" s="88">
        <v>12</v>
      </c>
      <c r="C45" s="89">
        <f t="shared" si="20"/>
        <v>44928</v>
      </c>
      <c r="D45" s="90">
        <f t="shared" si="4"/>
        <v>3073.4100000000003</v>
      </c>
      <c r="E45" s="91">
        <f t="shared" si="2"/>
        <v>2874.32</v>
      </c>
      <c r="F45" s="92">
        <f t="shared" si="5"/>
        <v>199.09</v>
      </c>
      <c r="G45" s="92">
        <f t="shared" si="6"/>
        <v>80.459999999999994</v>
      </c>
      <c r="H45" s="92">
        <f t="shared" si="12"/>
        <v>4.03</v>
      </c>
      <c r="I45" s="92">
        <v>0</v>
      </c>
      <c r="J45" s="95">
        <f t="shared" si="13"/>
        <v>283.58</v>
      </c>
      <c r="K45" s="92">
        <f t="shared" si="7"/>
        <v>10</v>
      </c>
      <c r="L45" s="96">
        <f t="shared" si="14"/>
        <v>293.58</v>
      </c>
      <c r="N45" s="40">
        <f t="shared" si="8"/>
        <v>0.73146517</v>
      </c>
      <c r="O45" s="45">
        <f t="shared" si="9"/>
        <v>1</v>
      </c>
      <c r="P45" s="42">
        <f t="shared" si="3"/>
        <v>357</v>
      </c>
      <c r="R45" s="46">
        <f t="shared" si="21"/>
        <v>80.459255923201965</v>
      </c>
      <c r="S45" s="47">
        <f t="shared" si="15"/>
        <v>0</v>
      </c>
      <c r="V45" s="48">
        <f t="shared" si="11"/>
        <v>4.03</v>
      </c>
      <c r="W45" s="48"/>
      <c r="Y45" s="43">
        <f t="shared" si="16"/>
        <v>44928</v>
      </c>
      <c r="Z45" s="43">
        <f t="shared" si="17"/>
        <v>44928</v>
      </c>
      <c r="AA45" s="43">
        <f t="shared" si="18"/>
        <v>44928</v>
      </c>
      <c r="AC45" s="44">
        <v>12</v>
      </c>
      <c r="AD45" s="43">
        <f t="shared" si="19"/>
        <v>44928</v>
      </c>
      <c r="AE45" s="43">
        <f t="shared" si="22"/>
        <v>44924</v>
      </c>
    </row>
    <row r="46" spans="2:31" x14ac:dyDescent="0.3">
      <c r="B46" s="88">
        <v>13</v>
      </c>
      <c r="C46" s="89">
        <f t="shared" si="20"/>
        <v>44959</v>
      </c>
      <c r="D46" s="90">
        <f t="shared" si="4"/>
        <v>2874.32</v>
      </c>
      <c r="E46" s="91">
        <f t="shared" si="2"/>
        <v>2669.76</v>
      </c>
      <c r="F46" s="92">
        <f t="shared" si="5"/>
        <v>204.55999999999997</v>
      </c>
      <c r="G46" s="92">
        <f t="shared" si="6"/>
        <v>75.25</v>
      </c>
      <c r="H46" s="92">
        <f t="shared" si="12"/>
        <v>3.77</v>
      </c>
      <c r="I46" s="92">
        <v>0</v>
      </c>
      <c r="J46" s="95">
        <f t="shared" si="13"/>
        <v>283.57999999999993</v>
      </c>
      <c r="K46" s="92">
        <f t="shared" si="7"/>
        <v>10</v>
      </c>
      <c r="L46" s="96">
        <f t="shared" si="14"/>
        <v>293.57999999999993</v>
      </c>
      <c r="N46" s="40">
        <f t="shared" si="8"/>
        <v>0.71187040999999995</v>
      </c>
      <c r="O46" s="45">
        <f t="shared" si="9"/>
        <v>1</v>
      </c>
      <c r="P46" s="42">
        <f t="shared" si="3"/>
        <v>388</v>
      </c>
      <c r="R46" s="46">
        <f t="shared" si="21"/>
        <v>75.247249304576314</v>
      </c>
      <c r="S46" s="47">
        <f t="shared" si="15"/>
        <v>0</v>
      </c>
      <c r="V46" s="48">
        <f t="shared" si="11"/>
        <v>3.77</v>
      </c>
      <c r="W46" s="48"/>
      <c r="Y46" s="43">
        <f t="shared" si="16"/>
        <v>44959</v>
      </c>
      <c r="Z46" s="43">
        <f t="shared" si="17"/>
        <v>44959</v>
      </c>
      <c r="AA46" s="43">
        <f t="shared" si="18"/>
        <v>44959</v>
      </c>
      <c r="AC46" s="44">
        <v>13</v>
      </c>
      <c r="AD46" s="43">
        <f t="shared" si="19"/>
        <v>44959</v>
      </c>
      <c r="AE46" s="43">
        <f t="shared" si="22"/>
        <v>44954</v>
      </c>
    </row>
    <row r="47" spans="2:31" x14ac:dyDescent="0.3">
      <c r="B47" s="88">
        <v>14</v>
      </c>
      <c r="C47" s="89">
        <f t="shared" si="20"/>
        <v>44987</v>
      </c>
      <c r="D47" s="90">
        <f t="shared" si="4"/>
        <v>2669.76</v>
      </c>
      <c r="E47" s="91">
        <f t="shared" si="2"/>
        <v>2452.3900000000003</v>
      </c>
      <c r="F47" s="92">
        <f t="shared" si="5"/>
        <v>217.36999999999998</v>
      </c>
      <c r="G47" s="92">
        <f t="shared" si="6"/>
        <v>63.05</v>
      </c>
      <c r="H47" s="92">
        <f t="shared" si="12"/>
        <v>3.16</v>
      </c>
      <c r="I47" s="92">
        <v>0</v>
      </c>
      <c r="J47" s="95">
        <f t="shared" si="13"/>
        <v>283.58</v>
      </c>
      <c r="K47" s="92">
        <f t="shared" si="7"/>
        <v>10</v>
      </c>
      <c r="L47" s="96">
        <f t="shared" si="14"/>
        <v>293.58</v>
      </c>
      <c r="N47" s="40">
        <f t="shared" si="8"/>
        <v>0.69462349000000001</v>
      </c>
      <c r="O47" s="45">
        <f t="shared" si="9"/>
        <v>1</v>
      </c>
      <c r="P47" s="42">
        <f t="shared" si="3"/>
        <v>416</v>
      </c>
      <c r="R47" s="46">
        <f t="shared" si="21"/>
        <v>63.049084993225499</v>
      </c>
      <c r="S47" s="47">
        <f t="shared" si="15"/>
        <v>0</v>
      </c>
      <c r="V47" s="48">
        <f t="shared" si="11"/>
        <v>3.16</v>
      </c>
      <c r="W47" s="48"/>
      <c r="Y47" s="43">
        <f t="shared" si="16"/>
        <v>44987</v>
      </c>
      <c r="Z47" s="43">
        <f t="shared" si="17"/>
        <v>44987</v>
      </c>
      <c r="AA47" s="43">
        <f t="shared" si="18"/>
        <v>44987</v>
      </c>
      <c r="AC47" s="44">
        <v>14</v>
      </c>
      <c r="AD47" s="43">
        <f t="shared" si="19"/>
        <v>44987</v>
      </c>
      <c r="AE47" s="43">
        <f t="shared" si="22"/>
        <v>44984</v>
      </c>
    </row>
    <row r="48" spans="2:31" x14ac:dyDescent="0.3">
      <c r="B48" s="88">
        <v>15</v>
      </c>
      <c r="C48" s="89">
        <f t="shared" si="20"/>
        <v>45018</v>
      </c>
      <c r="D48" s="90">
        <f t="shared" si="4"/>
        <v>2452.3900000000003</v>
      </c>
      <c r="E48" s="91">
        <f t="shared" si="2"/>
        <v>2236.2300000000005</v>
      </c>
      <c r="F48" s="92">
        <f t="shared" si="5"/>
        <v>216.16</v>
      </c>
      <c r="G48" s="92">
        <f t="shared" si="6"/>
        <v>64.2</v>
      </c>
      <c r="H48" s="92">
        <f t="shared" si="12"/>
        <v>3.22</v>
      </c>
      <c r="I48" s="92">
        <v>0</v>
      </c>
      <c r="J48" s="95">
        <f t="shared" si="13"/>
        <v>283.58000000000004</v>
      </c>
      <c r="K48" s="92">
        <f t="shared" si="7"/>
        <v>10</v>
      </c>
      <c r="L48" s="96">
        <f t="shared" si="14"/>
        <v>293.58000000000004</v>
      </c>
      <c r="N48" s="40">
        <f t="shared" si="8"/>
        <v>0.67601566000000002</v>
      </c>
      <c r="O48" s="45">
        <f t="shared" si="9"/>
        <v>1</v>
      </c>
      <c r="P48" s="42">
        <f t="shared" si="3"/>
        <v>447</v>
      </c>
      <c r="R48" s="46">
        <f t="shared" si="21"/>
        <v>64.201481297158949</v>
      </c>
      <c r="S48" s="47">
        <f t="shared" si="15"/>
        <v>0</v>
      </c>
      <c r="V48" s="48">
        <f t="shared" si="11"/>
        <v>3.22</v>
      </c>
      <c r="W48" s="48"/>
      <c r="Y48" s="43">
        <f t="shared" si="16"/>
        <v>45018</v>
      </c>
      <c r="Z48" s="43">
        <f t="shared" si="17"/>
        <v>45018</v>
      </c>
      <c r="AA48" s="43">
        <f t="shared" si="18"/>
        <v>45018</v>
      </c>
      <c r="AC48" s="44">
        <v>15</v>
      </c>
      <c r="AD48" s="43">
        <f t="shared" si="19"/>
        <v>45018</v>
      </c>
      <c r="AE48" s="43">
        <f t="shared" si="22"/>
        <v>45014</v>
      </c>
    </row>
    <row r="49" spans="2:31" x14ac:dyDescent="0.3">
      <c r="B49" s="88">
        <v>16</v>
      </c>
      <c r="C49" s="89">
        <f t="shared" si="20"/>
        <v>45048</v>
      </c>
      <c r="D49" s="90">
        <f t="shared" si="4"/>
        <v>2236.2300000000005</v>
      </c>
      <c r="E49" s="91">
        <f t="shared" si="2"/>
        <v>2012.1200000000006</v>
      </c>
      <c r="F49" s="92">
        <f t="shared" si="5"/>
        <v>224.10999999999999</v>
      </c>
      <c r="G49" s="92">
        <f t="shared" si="6"/>
        <v>56.63</v>
      </c>
      <c r="H49" s="92">
        <f t="shared" si="12"/>
        <v>2.84</v>
      </c>
      <c r="I49" s="92">
        <v>0</v>
      </c>
      <c r="J49" s="95">
        <f t="shared" si="13"/>
        <v>283.58</v>
      </c>
      <c r="K49" s="92">
        <f t="shared" si="7"/>
        <v>10</v>
      </c>
      <c r="L49" s="96">
        <f t="shared" si="14"/>
        <v>293.58</v>
      </c>
      <c r="N49" s="40">
        <f t="shared" si="8"/>
        <v>0.65848282999999996</v>
      </c>
      <c r="O49" s="45">
        <f t="shared" si="9"/>
        <v>1</v>
      </c>
      <c r="P49" s="42">
        <f t="shared" si="3"/>
        <v>477</v>
      </c>
      <c r="R49" s="46">
        <f t="shared" si="21"/>
        <v>56.630416540687683</v>
      </c>
      <c r="S49" s="47">
        <f t="shared" si="15"/>
        <v>0</v>
      </c>
      <c r="V49" s="48">
        <f t="shared" si="11"/>
        <v>2.84</v>
      </c>
      <c r="W49" s="48"/>
      <c r="Y49" s="43">
        <f t="shared" si="16"/>
        <v>45048</v>
      </c>
      <c r="Z49" s="43">
        <f t="shared" si="17"/>
        <v>45048</v>
      </c>
      <c r="AA49" s="43">
        <f t="shared" si="18"/>
        <v>45048</v>
      </c>
      <c r="AC49" s="44">
        <v>16</v>
      </c>
      <c r="AD49" s="43">
        <f t="shared" si="19"/>
        <v>45048</v>
      </c>
      <c r="AE49" s="43">
        <f t="shared" si="22"/>
        <v>45044</v>
      </c>
    </row>
    <row r="50" spans="2:31" x14ac:dyDescent="0.3">
      <c r="B50" s="88">
        <v>17</v>
      </c>
      <c r="C50" s="89">
        <f t="shared" si="20"/>
        <v>45079</v>
      </c>
      <c r="D50" s="90">
        <f t="shared" si="4"/>
        <v>2012.1200000000006</v>
      </c>
      <c r="E50" s="91">
        <f t="shared" si="2"/>
        <v>1783.8600000000006</v>
      </c>
      <c r="F50" s="92">
        <f t="shared" si="5"/>
        <v>228.26</v>
      </c>
      <c r="G50" s="92">
        <f t="shared" si="6"/>
        <v>52.68</v>
      </c>
      <c r="H50" s="92">
        <f t="shared" si="12"/>
        <v>2.64</v>
      </c>
      <c r="I50" s="92">
        <v>0</v>
      </c>
      <c r="J50" s="95">
        <f t="shared" si="13"/>
        <v>283.58</v>
      </c>
      <c r="K50" s="92">
        <f t="shared" si="7"/>
        <v>10</v>
      </c>
      <c r="L50" s="96">
        <f t="shared" si="14"/>
        <v>293.58</v>
      </c>
      <c r="N50" s="40">
        <f t="shared" si="8"/>
        <v>0.64084315000000003</v>
      </c>
      <c r="O50" s="45">
        <f t="shared" si="9"/>
        <v>1</v>
      </c>
      <c r="P50" s="42">
        <f t="shared" si="3"/>
        <v>508</v>
      </c>
      <c r="R50" s="46">
        <f t="shared" si="21"/>
        <v>52.675587711432314</v>
      </c>
      <c r="S50" s="47">
        <f t="shared" si="15"/>
        <v>0</v>
      </c>
      <c r="V50" s="48">
        <f t="shared" si="11"/>
        <v>2.64</v>
      </c>
      <c r="W50" s="48"/>
      <c r="Y50" s="43">
        <f t="shared" si="16"/>
        <v>45079</v>
      </c>
      <c r="Z50" s="43">
        <f t="shared" si="17"/>
        <v>45079</v>
      </c>
      <c r="AA50" s="43">
        <f t="shared" si="18"/>
        <v>45079</v>
      </c>
      <c r="AC50" s="44">
        <v>17</v>
      </c>
      <c r="AD50" s="43">
        <f t="shared" si="19"/>
        <v>45079</v>
      </c>
      <c r="AE50" s="43">
        <f t="shared" si="22"/>
        <v>45074</v>
      </c>
    </row>
    <row r="51" spans="2:31" x14ac:dyDescent="0.3">
      <c r="B51" s="88">
        <v>18</v>
      </c>
      <c r="C51" s="89">
        <f t="shared" si="20"/>
        <v>45109</v>
      </c>
      <c r="D51" s="90">
        <f t="shared" si="4"/>
        <v>1783.8600000000006</v>
      </c>
      <c r="E51" s="91">
        <f t="shared" si="2"/>
        <v>1547.7200000000007</v>
      </c>
      <c r="F51" s="92">
        <f t="shared" si="5"/>
        <v>236.13999999999996</v>
      </c>
      <c r="G51" s="92">
        <f t="shared" si="6"/>
        <v>45.17</v>
      </c>
      <c r="H51" s="92">
        <f t="shared" si="12"/>
        <v>2.27</v>
      </c>
      <c r="I51" s="92">
        <v>0</v>
      </c>
      <c r="J51" s="95">
        <f t="shared" si="13"/>
        <v>283.57999999999993</v>
      </c>
      <c r="K51" s="92">
        <f t="shared" si="7"/>
        <v>10</v>
      </c>
      <c r="L51" s="96">
        <f t="shared" si="14"/>
        <v>293.57999999999993</v>
      </c>
      <c r="N51" s="40">
        <f t="shared" si="8"/>
        <v>0.62422255000000004</v>
      </c>
      <c r="O51" s="45">
        <f t="shared" si="9"/>
        <v>1</v>
      </c>
      <c r="P51" s="42">
        <f t="shared" si="3"/>
        <v>538</v>
      </c>
      <c r="R51" s="46">
        <f t="shared" si="21"/>
        <v>45.174572763209127</v>
      </c>
      <c r="S51" s="47">
        <f t="shared" si="15"/>
        <v>0</v>
      </c>
      <c r="V51" s="48">
        <f t="shared" si="11"/>
        <v>2.27</v>
      </c>
      <c r="W51" s="48"/>
      <c r="Y51" s="43">
        <f t="shared" si="16"/>
        <v>45109</v>
      </c>
      <c r="Z51" s="43">
        <f t="shared" si="17"/>
        <v>45109</v>
      </c>
      <c r="AA51" s="43">
        <f t="shared" si="18"/>
        <v>45109</v>
      </c>
      <c r="AC51" s="44">
        <v>18</v>
      </c>
      <c r="AD51" s="43">
        <f t="shared" si="19"/>
        <v>45109</v>
      </c>
      <c r="AE51" s="43">
        <f t="shared" si="22"/>
        <v>45104</v>
      </c>
    </row>
    <row r="52" spans="2:31" x14ac:dyDescent="0.3">
      <c r="B52" s="88">
        <v>19</v>
      </c>
      <c r="C52" s="89">
        <f t="shared" si="20"/>
        <v>45140</v>
      </c>
      <c r="D52" s="90">
        <f t="shared" si="4"/>
        <v>1547.7200000000007</v>
      </c>
      <c r="E52" s="91">
        <f t="shared" si="2"/>
        <v>1306.6900000000007</v>
      </c>
      <c r="F52" s="92">
        <f t="shared" si="5"/>
        <v>241.02999999999997</v>
      </c>
      <c r="G52" s="92">
        <f t="shared" si="6"/>
        <v>40.520000000000003</v>
      </c>
      <c r="H52" s="92">
        <f t="shared" si="12"/>
        <v>2.0299999999999998</v>
      </c>
      <c r="I52" s="92">
        <v>0</v>
      </c>
      <c r="J52" s="95">
        <f t="shared" si="13"/>
        <v>283.57999999999993</v>
      </c>
      <c r="K52" s="92">
        <f t="shared" si="7"/>
        <v>10</v>
      </c>
      <c r="L52" s="96">
        <f t="shared" si="14"/>
        <v>293.57999999999993</v>
      </c>
      <c r="N52" s="40">
        <f t="shared" si="8"/>
        <v>0.60750064000000004</v>
      </c>
      <c r="O52" s="45">
        <f t="shared" si="9"/>
        <v>1</v>
      </c>
      <c r="P52" s="42">
        <f t="shared" si="3"/>
        <v>569</v>
      </c>
      <c r="R52" s="46">
        <f t="shared" si="21"/>
        <v>40.517991279216957</v>
      </c>
      <c r="S52" s="47">
        <f t="shared" si="15"/>
        <v>0</v>
      </c>
      <c r="V52" s="48">
        <f t="shared" si="11"/>
        <v>2.0299999999999998</v>
      </c>
      <c r="W52" s="48"/>
      <c r="Y52" s="43">
        <f t="shared" si="16"/>
        <v>45140</v>
      </c>
      <c r="Z52" s="43">
        <f t="shared" si="17"/>
        <v>45140</v>
      </c>
      <c r="AA52" s="43">
        <f t="shared" si="18"/>
        <v>45140</v>
      </c>
      <c r="AC52" s="44">
        <v>19</v>
      </c>
      <c r="AD52" s="43">
        <f t="shared" si="19"/>
        <v>45140</v>
      </c>
      <c r="AE52" s="43">
        <f t="shared" si="22"/>
        <v>45134</v>
      </c>
    </row>
    <row r="53" spans="2:31" x14ac:dyDescent="0.3">
      <c r="B53" s="88">
        <v>20</v>
      </c>
      <c r="C53" s="89">
        <f t="shared" si="20"/>
        <v>45171</v>
      </c>
      <c r="D53" s="90">
        <f t="shared" si="4"/>
        <v>1306.6900000000007</v>
      </c>
      <c r="E53" s="91">
        <f t="shared" si="2"/>
        <v>1059.0300000000007</v>
      </c>
      <c r="F53" s="92">
        <f t="shared" si="5"/>
        <v>247.65999999999997</v>
      </c>
      <c r="G53" s="92">
        <f t="shared" si="6"/>
        <v>34.21</v>
      </c>
      <c r="H53" s="92">
        <f t="shared" si="12"/>
        <v>1.71</v>
      </c>
      <c r="I53" s="92">
        <v>0</v>
      </c>
      <c r="J53" s="95">
        <f t="shared" si="13"/>
        <v>283.57999999999993</v>
      </c>
      <c r="K53" s="92">
        <f t="shared" si="7"/>
        <v>10</v>
      </c>
      <c r="L53" s="96">
        <f t="shared" si="14"/>
        <v>293.57999999999993</v>
      </c>
      <c r="N53" s="40">
        <f t="shared" si="8"/>
        <v>0.59122669000000005</v>
      </c>
      <c r="O53" s="45">
        <f t="shared" si="9"/>
        <v>1</v>
      </c>
      <c r="P53" s="42">
        <f t="shared" si="3"/>
        <v>600</v>
      </c>
      <c r="R53" s="46">
        <f t="shared" si="21"/>
        <v>34.208031184348599</v>
      </c>
      <c r="S53" s="47">
        <f t="shared" si="15"/>
        <v>0</v>
      </c>
      <c r="V53" s="48">
        <f t="shared" si="11"/>
        <v>1.71</v>
      </c>
      <c r="W53" s="48"/>
      <c r="Y53" s="43">
        <f t="shared" si="16"/>
        <v>45171</v>
      </c>
      <c r="Z53" s="43">
        <f t="shared" si="17"/>
        <v>45171</v>
      </c>
      <c r="AA53" s="43">
        <f t="shared" si="18"/>
        <v>45171</v>
      </c>
      <c r="AC53" s="44">
        <v>20</v>
      </c>
      <c r="AD53" s="43">
        <f t="shared" si="19"/>
        <v>45171</v>
      </c>
      <c r="AE53" s="43">
        <f t="shared" si="22"/>
        <v>45164</v>
      </c>
    </row>
    <row r="54" spans="2:31" x14ac:dyDescent="0.3">
      <c r="B54" s="88">
        <v>21</v>
      </c>
      <c r="C54" s="89">
        <f t="shared" si="20"/>
        <v>45201</v>
      </c>
      <c r="D54" s="90">
        <f t="shared" si="4"/>
        <v>1059.0300000000007</v>
      </c>
      <c r="E54" s="91">
        <f t="shared" si="2"/>
        <v>803.6100000000007</v>
      </c>
      <c r="F54" s="92">
        <f t="shared" si="5"/>
        <v>255.42</v>
      </c>
      <c r="G54" s="92">
        <f t="shared" si="6"/>
        <v>26.82</v>
      </c>
      <c r="H54" s="92">
        <f t="shared" si="12"/>
        <v>1.34</v>
      </c>
      <c r="I54" s="92">
        <v>0</v>
      </c>
      <c r="J54" s="95">
        <f t="shared" si="13"/>
        <v>283.58</v>
      </c>
      <c r="K54" s="92">
        <f t="shared" si="7"/>
        <v>10</v>
      </c>
      <c r="L54" s="96">
        <f t="shared" si="14"/>
        <v>293.58</v>
      </c>
      <c r="N54" s="40">
        <f t="shared" si="8"/>
        <v>0.57589292000000003</v>
      </c>
      <c r="O54" s="45">
        <f t="shared" si="9"/>
        <v>1</v>
      </c>
      <c r="P54" s="42">
        <f t="shared" si="3"/>
        <v>630</v>
      </c>
      <c r="R54" s="46">
        <f t="shared" si="21"/>
        <v>26.818936347819548</v>
      </c>
      <c r="S54" s="47">
        <f t="shared" si="15"/>
        <v>0</v>
      </c>
      <c r="V54" s="48">
        <f t="shared" si="11"/>
        <v>1.34</v>
      </c>
      <c r="W54" s="48"/>
      <c r="Y54" s="43">
        <f t="shared" si="16"/>
        <v>45201</v>
      </c>
      <c r="Z54" s="43">
        <f t="shared" si="17"/>
        <v>45201</v>
      </c>
      <c r="AA54" s="43">
        <f t="shared" si="18"/>
        <v>45201</v>
      </c>
      <c r="AC54" s="44">
        <v>21</v>
      </c>
      <c r="AD54" s="43">
        <f t="shared" si="19"/>
        <v>45201</v>
      </c>
      <c r="AE54" s="43">
        <f t="shared" si="22"/>
        <v>45194</v>
      </c>
    </row>
    <row r="55" spans="2:31" x14ac:dyDescent="0.3">
      <c r="B55" s="88">
        <v>22</v>
      </c>
      <c r="C55" s="89">
        <f t="shared" si="20"/>
        <v>45232</v>
      </c>
      <c r="D55" s="90">
        <f t="shared" si="4"/>
        <v>803.6100000000007</v>
      </c>
      <c r="E55" s="91">
        <f t="shared" si="2"/>
        <v>542.1200000000008</v>
      </c>
      <c r="F55" s="92">
        <f t="shared" si="5"/>
        <v>261.48999999999995</v>
      </c>
      <c r="G55" s="92">
        <f t="shared" si="6"/>
        <v>21.04</v>
      </c>
      <c r="H55" s="92">
        <f t="shared" si="12"/>
        <v>1.05</v>
      </c>
      <c r="I55" s="92">
        <v>0</v>
      </c>
      <c r="J55" s="95">
        <f t="shared" si="13"/>
        <v>283.58</v>
      </c>
      <c r="K55" s="92">
        <f t="shared" si="7"/>
        <v>10</v>
      </c>
      <c r="L55" s="96">
        <f t="shared" si="14"/>
        <v>293.58</v>
      </c>
      <c r="N55" s="40">
        <f t="shared" si="8"/>
        <v>0.56046567999999997</v>
      </c>
      <c r="O55" s="45">
        <f t="shared" si="9"/>
        <v>1</v>
      </c>
      <c r="P55" s="42">
        <f t="shared" si="3"/>
        <v>661</v>
      </c>
      <c r="R55" s="46">
        <f t="shared" si="21"/>
        <v>21.03782529907965</v>
      </c>
      <c r="S55" s="47">
        <f t="shared" si="15"/>
        <v>0</v>
      </c>
      <c r="V55" s="48">
        <f t="shared" si="11"/>
        <v>1.05</v>
      </c>
      <c r="W55" s="48"/>
      <c r="Y55" s="43">
        <f t="shared" si="16"/>
        <v>45232</v>
      </c>
      <c r="Z55" s="43">
        <f t="shared" si="17"/>
        <v>45232</v>
      </c>
      <c r="AA55" s="43">
        <f t="shared" si="18"/>
        <v>45232</v>
      </c>
      <c r="AC55" s="44">
        <v>22</v>
      </c>
      <c r="AD55" s="43">
        <f t="shared" si="19"/>
        <v>45232</v>
      </c>
      <c r="AE55" s="43">
        <f t="shared" si="22"/>
        <v>45224</v>
      </c>
    </row>
    <row r="56" spans="2:31" x14ac:dyDescent="0.3">
      <c r="B56" s="88">
        <v>23</v>
      </c>
      <c r="C56" s="89">
        <f t="shared" si="20"/>
        <v>45262</v>
      </c>
      <c r="D56" s="90">
        <f t="shared" si="4"/>
        <v>542.1200000000008</v>
      </c>
      <c r="E56" s="91">
        <f t="shared" si="2"/>
        <v>272.96000000000083</v>
      </c>
      <c r="F56" s="92">
        <f t="shared" si="5"/>
        <v>269.15999999999997</v>
      </c>
      <c r="G56" s="92">
        <f t="shared" si="6"/>
        <v>13.73</v>
      </c>
      <c r="H56" s="92">
        <f t="shared" si="12"/>
        <v>0.69</v>
      </c>
      <c r="I56" s="92">
        <v>0</v>
      </c>
      <c r="J56" s="95">
        <f t="shared" si="13"/>
        <v>283.58</v>
      </c>
      <c r="K56" s="92">
        <f t="shared" si="7"/>
        <v>10</v>
      </c>
      <c r="L56" s="96">
        <f t="shared" si="14"/>
        <v>293.58</v>
      </c>
      <c r="N56" s="40">
        <f t="shared" si="8"/>
        <v>0.54592971000000001</v>
      </c>
      <c r="O56" s="45">
        <f t="shared" si="9"/>
        <v>1</v>
      </c>
      <c r="P56" s="42">
        <f t="shared" si="3"/>
        <v>691</v>
      </c>
      <c r="R56" s="46">
        <f t="shared" si="21"/>
        <v>13.72867791552642</v>
      </c>
      <c r="S56" s="47">
        <f t="shared" si="15"/>
        <v>0</v>
      </c>
      <c r="V56" s="48">
        <f t="shared" si="11"/>
        <v>0.69</v>
      </c>
      <c r="W56" s="48"/>
      <c r="Y56" s="43">
        <f t="shared" si="16"/>
        <v>45262</v>
      </c>
      <c r="Z56" s="43">
        <f t="shared" si="17"/>
        <v>45262</v>
      </c>
      <c r="AA56" s="43">
        <f t="shared" si="18"/>
        <v>45262</v>
      </c>
      <c r="AC56" s="44">
        <v>23</v>
      </c>
      <c r="AD56" s="43">
        <f t="shared" si="19"/>
        <v>45262</v>
      </c>
      <c r="AE56" s="43">
        <f t="shared" si="22"/>
        <v>45254</v>
      </c>
    </row>
    <row r="57" spans="2:31" x14ac:dyDescent="0.3">
      <c r="B57" s="88">
        <v>24</v>
      </c>
      <c r="C57" s="89">
        <f t="shared" si="20"/>
        <v>45293</v>
      </c>
      <c r="D57" s="90">
        <f t="shared" si="4"/>
        <v>272.96000000000083</v>
      </c>
      <c r="E57" s="91">
        <f t="shared" si="2"/>
        <v>0</v>
      </c>
      <c r="F57" s="92">
        <f t="shared" si="5"/>
        <v>272.96000000000083</v>
      </c>
      <c r="G57" s="92">
        <f t="shared" si="6"/>
        <v>7.15</v>
      </c>
      <c r="H57" s="92">
        <f t="shared" si="12"/>
        <v>0.36</v>
      </c>
      <c r="I57" s="92">
        <v>0</v>
      </c>
      <c r="J57" s="95">
        <f t="shared" si="13"/>
        <v>280.47000000000082</v>
      </c>
      <c r="K57" s="92">
        <f t="shared" si="7"/>
        <v>10</v>
      </c>
      <c r="L57" s="96">
        <f t="shared" si="14"/>
        <v>290.47000000000082</v>
      </c>
      <c r="N57" s="40">
        <f t="shared" si="8"/>
        <v>0.53130513999999995</v>
      </c>
      <c r="O57" s="45">
        <f t="shared" si="9"/>
        <v>1</v>
      </c>
      <c r="P57" s="42">
        <f t="shared" si="3"/>
        <v>722</v>
      </c>
      <c r="R57" s="46">
        <f t="shared" si="21"/>
        <v>7.1458602974537317</v>
      </c>
      <c r="S57" s="47">
        <f t="shared" si="15"/>
        <v>0</v>
      </c>
      <c r="V57" s="48">
        <f t="shared" si="11"/>
        <v>0.36</v>
      </c>
      <c r="W57" s="48"/>
      <c r="Y57" s="43">
        <f t="shared" si="16"/>
        <v>45293</v>
      </c>
      <c r="Z57" s="43">
        <f t="shared" si="17"/>
        <v>45293</v>
      </c>
      <c r="AA57" s="43">
        <f t="shared" si="18"/>
        <v>45293</v>
      </c>
      <c r="AC57" s="44">
        <v>24</v>
      </c>
      <c r="AD57" s="43">
        <f t="shared" si="19"/>
        <v>45293</v>
      </c>
      <c r="AE57" s="43">
        <f t="shared" si="22"/>
        <v>45284</v>
      </c>
    </row>
    <row r="58" spans="2:31" x14ac:dyDescent="0.3">
      <c r="B58" s="88">
        <v>25</v>
      </c>
      <c r="C58" s="89">
        <f t="shared" si="20"/>
        <v>45324</v>
      </c>
      <c r="D58" s="90">
        <f t="shared" si="4"/>
        <v>0</v>
      </c>
      <c r="E58" s="91">
        <f t="shared" si="2"/>
        <v>0</v>
      </c>
      <c r="F58" s="92">
        <f t="shared" si="5"/>
        <v>0</v>
      </c>
      <c r="G58" s="92">
        <f t="shared" si="6"/>
        <v>0</v>
      </c>
      <c r="H58" s="92">
        <f t="shared" si="12"/>
        <v>0</v>
      </c>
      <c r="I58" s="92">
        <v>0</v>
      </c>
      <c r="J58" s="95">
        <f t="shared" si="13"/>
        <v>0</v>
      </c>
      <c r="K58" s="92">
        <f t="shared" si="7"/>
        <v>0</v>
      </c>
      <c r="L58" s="96">
        <f t="shared" si="14"/>
        <v>0</v>
      </c>
      <c r="N58" s="40">
        <f t="shared" si="8"/>
        <v>0</v>
      </c>
      <c r="O58" s="45">
        <f t="shared" si="9"/>
        <v>1</v>
      </c>
      <c r="P58" s="42">
        <f t="shared" si="3"/>
        <v>753</v>
      </c>
      <c r="R58" s="46">
        <f t="shared" si="21"/>
        <v>0</v>
      </c>
      <c r="S58" s="47">
        <f t="shared" si="15"/>
        <v>0</v>
      </c>
      <c r="V58" s="48">
        <f t="shared" si="11"/>
        <v>0</v>
      </c>
      <c r="W58" s="48"/>
      <c r="Y58" s="43">
        <f t="shared" si="16"/>
        <v>45324</v>
      </c>
      <c r="Z58" s="43">
        <f t="shared" si="17"/>
        <v>45324</v>
      </c>
      <c r="AA58" s="43">
        <f t="shared" si="18"/>
        <v>45324</v>
      </c>
      <c r="AC58" s="44">
        <v>25</v>
      </c>
      <c r="AD58" s="43">
        <f t="shared" si="19"/>
        <v>45324</v>
      </c>
      <c r="AE58" s="43">
        <f t="shared" si="22"/>
        <v>45314</v>
      </c>
    </row>
    <row r="59" spans="2:31" x14ac:dyDescent="0.3">
      <c r="B59" s="88">
        <v>26</v>
      </c>
      <c r="C59" s="89">
        <f t="shared" si="20"/>
        <v>45353</v>
      </c>
      <c r="D59" s="90">
        <f t="shared" si="4"/>
        <v>0</v>
      </c>
      <c r="E59" s="91">
        <f t="shared" si="2"/>
        <v>0</v>
      </c>
      <c r="F59" s="92">
        <f t="shared" si="5"/>
        <v>0</v>
      </c>
      <c r="G59" s="92">
        <f t="shared" si="6"/>
        <v>0</v>
      </c>
      <c r="H59" s="92">
        <f t="shared" si="12"/>
        <v>0</v>
      </c>
      <c r="I59" s="92">
        <v>0</v>
      </c>
      <c r="J59" s="95">
        <f t="shared" si="13"/>
        <v>0</v>
      </c>
      <c r="K59" s="92">
        <f t="shared" si="7"/>
        <v>0</v>
      </c>
      <c r="L59" s="96">
        <f t="shared" si="14"/>
        <v>0</v>
      </c>
      <c r="N59" s="40">
        <f t="shared" si="8"/>
        <v>0</v>
      </c>
      <c r="O59" s="45">
        <f t="shared" si="9"/>
        <v>1</v>
      </c>
      <c r="P59" s="42">
        <f t="shared" si="3"/>
        <v>782</v>
      </c>
      <c r="R59" s="46">
        <f t="shared" si="21"/>
        <v>0</v>
      </c>
      <c r="S59" s="47">
        <f t="shared" si="15"/>
        <v>0</v>
      </c>
      <c r="V59" s="48">
        <f t="shared" si="11"/>
        <v>0</v>
      </c>
      <c r="W59" s="48"/>
      <c r="Y59" s="43">
        <f t="shared" si="16"/>
        <v>45353</v>
      </c>
      <c r="Z59" s="43">
        <f t="shared" si="17"/>
        <v>45353</v>
      </c>
      <c r="AA59" s="43">
        <f t="shared" si="18"/>
        <v>45353</v>
      </c>
      <c r="AC59" s="44">
        <v>26</v>
      </c>
      <c r="AD59" s="43">
        <f t="shared" si="19"/>
        <v>45353</v>
      </c>
      <c r="AE59" s="43">
        <f t="shared" si="22"/>
        <v>45344</v>
      </c>
    </row>
    <row r="60" spans="2:31" x14ac:dyDescent="0.3">
      <c r="B60" s="88">
        <v>27</v>
      </c>
      <c r="C60" s="89">
        <f t="shared" si="20"/>
        <v>45384</v>
      </c>
      <c r="D60" s="90">
        <f t="shared" si="4"/>
        <v>0</v>
      </c>
      <c r="E60" s="91">
        <f t="shared" si="2"/>
        <v>0</v>
      </c>
      <c r="F60" s="92">
        <f t="shared" si="5"/>
        <v>0</v>
      </c>
      <c r="G60" s="92">
        <f t="shared" si="6"/>
        <v>0</v>
      </c>
      <c r="H60" s="92">
        <f t="shared" si="12"/>
        <v>0</v>
      </c>
      <c r="I60" s="92">
        <v>0</v>
      </c>
      <c r="J60" s="95">
        <f t="shared" si="13"/>
        <v>0</v>
      </c>
      <c r="K60" s="92">
        <f t="shared" si="7"/>
        <v>0</v>
      </c>
      <c r="L60" s="96">
        <f t="shared" si="14"/>
        <v>0</v>
      </c>
      <c r="N60" s="40">
        <f t="shared" si="8"/>
        <v>0</v>
      </c>
      <c r="O60" s="45">
        <f t="shared" si="9"/>
        <v>1</v>
      </c>
      <c r="P60" s="42">
        <f t="shared" si="3"/>
        <v>813</v>
      </c>
      <c r="R60" s="46">
        <f t="shared" si="21"/>
        <v>0</v>
      </c>
      <c r="S60" s="47">
        <f t="shared" si="15"/>
        <v>0</v>
      </c>
      <c r="V60" s="48">
        <f t="shared" si="11"/>
        <v>0</v>
      </c>
      <c r="W60" s="48"/>
      <c r="Y60" s="43">
        <f t="shared" si="16"/>
        <v>45384</v>
      </c>
      <c r="Z60" s="43">
        <f t="shared" si="17"/>
        <v>45384</v>
      </c>
      <c r="AA60" s="43">
        <f t="shared" si="18"/>
        <v>45384</v>
      </c>
      <c r="AC60" s="44">
        <v>27</v>
      </c>
      <c r="AD60" s="43">
        <f t="shared" si="19"/>
        <v>45384</v>
      </c>
      <c r="AE60" s="43">
        <f t="shared" si="22"/>
        <v>45374</v>
      </c>
    </row>
    <row r="61" spans="2:31" x14ac:dyDescent="0.3">
      <c r="B61" s="88">
        <v>28</v>
      </c>
      <c r="C61" s="89">
        <f t="shared" si="20"/>
        <v>45414</v>
      </c>
      <c r="D61" s="90">
        <f t="shared" si="4"/>
        <v>0</v>
      </c>
      <c r="E61" s="91">
        <f t="shared" si="2"/>
        <v>0</v>
      </c>
      <c r="F61" s="92">
        <f t="shared" si="5"/>
        <v>0</v>
      </c>
      <c r="G61" s="92">
        <f t="shared" si="6"/>
        <v>0</v>
      </c>
      <c r="H61" s="92">
        <f t="shared" si="12"/>
        <v>0</v>
      </c>
      <c r="I61" s="92">
        <v>0</v>
      </c>
      <c r="J61" s="95">
        <f t="shared" si="13"/>
        <v>0</v>
      </c>
      <c r="K61" s="92">
        <f t="shared" si="7"/>
        <v>0</v>
      </c>
      <c r="L61" s="96">
        <f t="shared" si="14"/>
        <v>0</v>
      </c>
      <c r="N61" s="40">
        <f t="shared" si="8"/>
        <v>0</v>
      </c>
      <c r="O61" s="45">
        <f t="shared" si="9"/>
        <v>1</v>
      </c>
      <c r="P61" s="42">
        <f t="shared" si="3"/>
        <v>843</v>
      </c>
      <c r="R61" s="46">
        <f t="shared" si="21"/>
        <v>0</v>
      </c>
      <c r="S61" s="47">
        <f t="shared" si="15"/>
        <v>0</v>
      </c>
      <c r="V61" s="48">
        <f t="shared" si="11"/>
        <v>0</v>
      </c>
      <c r="W61" s="48"/>
      <c r="Y61" s="43">
        <f t="shared" si="16"/>
        <v>45414</v>
      </c>
      <c r="Z61" s="43">
        <f t="shared" si="17"/>
        <v>45414</v>
      </c>
      <c r="AA61" s="43">
        <f t="shared" si="18"/>
        <v>45414</v>
      </c>
      <c r="AC61" s="44">
        <v>28</v>
      </c>
      <c r="AD61" s="43">
        <f t="shared" si="19"/>
        <v>45414</v>
      </c>
      <c r="AE61" s="43">
        <f t="shared" si="22"/>
        <v>45404</v>
      </c>
    </row>
    <row r="62" spans="2:31" x14ac:dyDescent="0.3">
      <c r="B62" s="88">
        <v>29</v>
      </c>
      <c r="C62" s="89">
        <f t="shared" si="20"/>
        <v>45445</v>
      </c>
      <c r="D62" s="90">
        <f t="shared" si="4"/>
        <v>0</v>
      </c>
      <c r="E62" s="91">
        <f t="shared" si="2"/>
        <v>0</v>
      </c>
      <c r="F62" s="92">
        <f t="shared" si="5"/>
        <v>0</v>
      </c>
      <c r="G62" s="92">
        <f t="shared" si="6"/>
        <v>0</v>
      </c>
      <c r="H62" s="92">
        <f t="shared" si="12"/>
        <v>0</v>
      </c>
      <c r="I62" s="92">
        <v>0</v>
      </c>
      <c r="J62" s="95">
        <f t="shared" si="13"/>
        <v>0</v>
      </c>
      <c r="K62" s="92">
        <f t="shared" si="7"/>
        <v>0</v>
      </c>
      <c r="L62" s="96">
        <f t="shared" si="14"/>
        <v>0</v>
      </c>
      <c r="N62" s="40">
        <f t="shared" si="8"/>
        <v>0</v>
      </c>
      <c r="O62" s="45">
        <f t="shared" si="9"/>
        <v>1</v>
      </c>
      <c r="P62" s="42">
        <f t="shared" si="3"/>
        <v>874</v>
      </c>
      <c r="R62" s="46">
        <f t="shared" si="21"/>
        <v>0</v>
      </c>
      <c r="S62" s="47">
        <f t="shared" si="15"/>
        <v>0</v>
      </c>
      <c r="V62" s="48">
        <f t="shared" si="11"/>
        <v>0</v>
      </c>
      <c r="W62" s="48"/>
      <c r="Y62" s="43">
        <f t="shared" si="16"/>
        <v>45445</v>
      </c>
      <c r="Z62" s="43">
        <f t="shared" si="17"/>
        <v>45445</v>
      </c>
      <c r="AA62" s="43">
        <f t="shared" si="18"/>
        <v>45445</v>
      </c>
      <c r="AC62" s="44">
        <v>29</v>
      </c>
      <c r="AD62" s="43">
        <f t="shared" si="19"/>
        <v>45445</v>
      </c>
      <c r="AE62" s="43">
        <f t="shared" si="22"/>
        <v>45434</v>
      </c>
    </row>
    <row r="63" spans="2:31" x14ac:dyDescent="0.3">
      <c r="B63" s="88">
        <v>30</v>
      </c>
      <c r="C63" s="89">
        <f t="shared" si="20"/>
        <v>45475</v>
      </c>
      <c r="D63" s="90">
        <f t="shared" si="4"/>
        <v>0</v>
      </c>
      <c r="E63" s="91">
        <f t="shared" si="2"/>
        <v>0</v>
      </c>
      <c r="F63" s="92">
        <f t="shared" si="5"/>
        <v>0</v>
      </c>
      <c r="G63" s="92">
        <f t="shared" si="6"/>
        <v>0</v>
      </c>
      <c r="H63" s="92">
        <f t="shared" si="12"/>
        <v>0</v>
      </c>
      <c r="I63" s="92">
        <v>0</v>
      </c>
      <c r="J63" s="95">
        <f t="shared" si="13"/>
        <v>0</v>
      </c>
      <c r="K63" s="92">
        <f t="shared" si="7"/>
        <v>0</v>
      </c>
      <c r="L63" s="96">
        <f t="shared" si="14"/>
        <v>0</v>
      </c>
      <c r="N63" s="40">
        <f t="shared" si="8"/>
        <v>0</v>
      </c>
      <c r="O63" s="45">
        <f t="shared" si="9"/>
        <v>1</v>
      </c>
      <c r="P63" s="42">
        <f t="shared" si="3"/>
        <v>904</v>
      </c>
      <c r="R63" s="46">
        <f t="shared" si="21"/>
        <v>0</v>
      </c>
      <c r="S63" s="47">
        <f t="shared" si="15"/>
        <v>0</v>
      </c>
      <c r="V63" s="48">
        <f t="shared" si="11"/>
        <v>0</v>
      </c>
      <c r="W63" s="48"/>
      <c r="Y63" s="43">
        <f t="shared" si="16"/>
        <v>45475</v>
      </c>
      <c r="Z63" s="43">
        <f t="shared" si="17"/>
        <v>45475</v>
      </c>
      <c r="AA63" s="43">
        <f t="shared" si="18"/>
        <v>45475</v>
      </c>
      <c r="AC63" s="44">
        <v>30</v>
      </c>
      <c r="AD63" s="43">
        <f t="shared" si="19"/>
        <v>45475</v>
      </c>
      <c r="AE63" s="43">
        <f t="shared" si="22"/>
        <v>45464</v>
      </c>
    </row>
    <row r="64" spans="2:31" x14ac:dyDescent="0.3">
      <c r="B64" s="88">
        <v>31</v>
      </c>
      <c r="C64" s="89">
        <f t="shared" si="20"/>
        <v>45506</v>
      </c>
      <c r="D64" s="90">
        <f t="shared" si="4"/>
        <v>0</v>
      </c>
      <c r="E64" s="91">
        <f t="shared" si="2"/>
        <v>0</v>
      </c>
      <c r="F64" s="92">
        <f t="shared" si="5"/>
        <v>0</v>
      </c>
      <c r="G64" s="92">
        <f t="shared" si="6"/>
        <v>0</v>
      </c>
      <c r="H64" s="92">
        <f t="shared" si="12"/>
        <v>0</v>
      </c>
      <c r="I64" s="92">
        <v>0</v>
      </c>
      <c r="J64" s="95">
        <f t="shared" si="13"/>
        <v>0</v>
      </c>
      <c r="K64" s="92">
        <f t="shared" si="7"/>
        <v>0</v>
      </c>
      <c r="L64" s="96">
        <f t="shared" si="14"/>
        <v>0</v>
      </c>
      <c r="N64" s="40">
        <f t="shared" si="8"/>
        <v>0</v>
      </c>
      <c r="O64" s="45">
        <f t="shared" si="9"/>
        <v>1</v>
      </c>
      <c r="P64" s="42">
        <f t="shared" si="3"/>
        <v>935</v>
      </c>
      <c r="R64" s="46">
        <f t="shared" si="21"/>
        <v>0</v>
      </c>
      <c r="S64" s="47">
        <f t="shared" si="15"/>
        <v>0</v>
      </c>
      <c r="V64" s="48">
        <f t="shared" si="11"/>
        <v>0</v>
      </c>
      <c r="W64" s="48"/>
      <c r="Y64" s="43">
        <f t="shared" si="16"/>
        <v>45506</v>
      </c>
      <c r="Z64" s="43">
        <f t="shared" si="17"/>
        <v>45506</v>
      </c>
      <c r="AA64" s="43">
        <f t="shared" si="18"/>
        <v>45506</v>
      </c>
      <c r="AC64" s="44">
        <v>31</v>
      </c>
      <c r="AD64" s="43">
        <f t="shared" si="19"/>
        <v>45506</v>
      </c>
      <c r="AE64" s="43">
        <f t="shared" si="22"/>
        <v>45494</v>
      </c>
    </row>
    <row r="65" spans="2:31" x14ac:dyDescent="0.3">
      <c r="B65" s="88">
        <v>32</v>
      </c>
      <c r="C65" s="89">
        <f t="shared" si="20"/>
        <v>45537</v>
      </c>
      <c r="D65" s="90">
        <f t="shared" si="4"/>
        <v>0</v>
      </c>
      <c r="E65" s="91">
        <f t="shared" ref="E65:E96" si="23">+D65-F65</f>
        <v>0</v>
      </c>
      <c r="F65" s="92">
        <f t="shared" si="5"/>
        <v>0</v>
      </c>
      <c r="G65" s="92">
        <f t="shared" si="6"/>
        <v>0</v>
      </c>
      <c r="H65" s="92">
        <f t="shared" si="12"/>
        <v>0</v>
      </c>
      <c r="I65" s="92">
        <v>0</v>
      </c>
      <c r="J65" s="95">
        <f t="shared" si="13"/>
        <v>0</v>
      </c>
      <c r="K65" s="92">
        <f t="shared" si="7"/>
        <v>0</v>
      </c>
      <c r="L65" s="96">
        <f t="shared" si="14"/>
        <v>0</v>
      </c>
      <c r="N65" s="40">
        <f t="shared" si="8"/>
        <v>0</v>
      </c>
      <c r="O65" s="45">
        <f t="shared" si="9"/>
        <v>1</v>
      </c>
      <c r="P65" s="42">
        <f t="shared" ref="P65:P96" si="24">C65-$C$33</f>
        <v>966</v>
      </c>
      <c r="R65" s="46">
        <f t="shared" si="21"/>
        <v>0</v>
      </c>
      <c r="S65" s="47">
        <f t="shared" si="15"/>
        <v>0</v>
      </c>
      <c r="V65" s="48">
        <f t="shared" si="11"/>
        <v>0</v>
      </c>
      <c r="W65" s="48"/>
      <c r="Y65" s="43">
        <f t="shared" si="16"/>
        <v>45537</v>
      </c>
      <c r="Z65" s="43">
        <f t="shared" si="17"/>
        <v>45537</v>
      </c>
      <c r="AA65" s="43">
        <f t="shared" si="18"/>
        <v>45537</v>
      </c>
      <c r="AC65" s="44">
        <v>32</v>
      </c>
      <c r="AD65" s="43">
        <f t="shared" si="19"/>
        <v>45537</v>
      </c>
      <c r="AE65" s="43">
        <f t="shared" si="22"/>
        <v>45524</v>
      </c>
    </row>
    <row r="66" spans="2:31" x14ac:dyDescent="0.3">
      <c r="B66" s="88">
        <v>33</v>
      </c>
      <c r="C66" s="89">
        <f t="shared" si="20"/>
        <v>45567</v>
      </c>
      <c r="D66" s="90">
        <f t="shared" ref="D66:D97" si="25">+E65</f>
        <v>0</v>
      </c>
      <c r="E66" s="91">
        <f t="shared" si="23"/>
        <v>0</v>
      </c>
      <c r="F66" s="92">
        <f t="shared" ref="F66:F97" si="26">IF(B66&lt;$E$18,ROUND($E$19*O66,2)-G66-H66-I66,D66)</f>
        <v>0</v>
      </c>
      <c r="G66" s="92">
        <f t="shared" ref="G66:G97" si="27">IF($E$19*O66-I66-H66&lt;ROUND(R66,2),$E$19*O66-I66-H66,ROUND(R66,2))</f>
        <v>0</v>
      </c>
      <c r="H66" s="92">
        <f t="shared" si="12"/>
        <v>0</v>
      </c>
      <c r="I66" s="92">
        <v>0</v>
      </c>
      <c r="J66" s="95">
        <f t="shared" si="13"/>
        <v>0</v>
      </c>
      <c r="K66" s="92">
        <f t="shared" ref="K66:K97" si="28">+IF(B66&lt;=$E$18,$E$21,0)</f>
        <v>0</v>
      </c>
      <c r="L66" s="96">
        <f t="shared" si="14"/>
        <v>0</v>
      </c>
      <c r="N66" s="40">
        <f t="shared" ref="N66:N97" si="29">IF(B66&lt;=$E$18,ROUND((1+$G$18)^(-P66),8),0)</f>
        <v>0</v>
      </c>
      <c r="O66" s="45">
        <f t="shared" ref="O66:O97" si="30">VLOOKUP(MONTH(C66),$R$10:$S$25,2,0)</f>
        <v>1</v>
      </c>
      <c r="P66" s="42">
        <f t="shared" si="24"/>
        <v>996</v>
      </c>
      <c r="R66" s="46">
        <f t="shared" si="21"/>
        <v>0</v>
      </c>
      <c r="S66" s="47">
        <f t="shared" si="15"/>
        <v>0</v>
      </c>
      <c r="V66" s="48">
        <f t="shared" si="11"/>
        <v>0</v>
      </c>
      <c r="W66" s="48"/>
      <c r="Y66" s="43">
        <f t="shared" si="16"/>
        <v>45567</v>
      </c>
      <c r="Z66" s="43">
        <f t="shared" si="17"/>
        <v>45567</v>
      </c>
      <c r="AA66" s="43">
        <f t="shared" si="18"/>
        <v>45567</v>
      </c>
      <c r="AC66" s="44">
        <v>33</v>
      </c>
      <c r="AD66" s="43">
        <f t="shared" si="19"/>
        <v>45567</v>
      </c>
      <c r="AE66" s="43">
        <f t="shared" si="22"/>
        <v>45554</v>
      </c>
    </row>
    <row r="67" spans="2:31" x14ac:dyDescent="0.3">
      <c r="B67" s="88">
        <v>34</v>
      </c>
      <c r="C67" s="89">
        <f t="shared" si="20"/>
        <v>45598</v>
      </c>
      <c r="D67" s="90">
        <f t="shared" si="25"/>
        <v>0</v>
      </c>
      <c r="E67" s="91">
        <f t="shared" si="23"/>
        <v>0</v>
      </c>
      <c r="F67" s="92">
        <f t="shared" si="26"/>
        <v>0</v>
      </c>
      <c r="G67" s="92">
        <f t="shared" si="27"/>
        <v>0</v>
      </c>
      <c r="H67" s="92">
        <f t="shared" si="12"/>
        <v>0</v>
      </c>
      <c r="I67" s="92">
        <v>0</v>
      </c>
      <c r="J67" s="95">
        <f t="shared" si="13"/>
        <v>0</v>
      </c>
      <c r="K67" s="92">
        <f t="shared" si="28"/>
        <v>0</v>
      </c>
      <c r="L67" s="96">
        <f t="shared" si="14"/>
        <v>0</v>
      </c>
      <c r="N67" s="40">
        <f t="shared" si="29"/>
        <v>0</v>
      </c>
      <c r="O67" s="45">
        <f t="shared" si="30"/>
        <v>1</v>
      </c>
      <c r="P67" s="42">
        <f t="shared" si="24"/>
        <v>1027</v>
      </c>
      <c r="R67" s="46">
        <f t="shared" si="21"/>
        <v>0</v>
      </c>
      <c r="S67" s="47">
        <f t="shared" si="15"/>
        <v>0</v>
      </c>
      <c r="V67" s="48">
        <f t="shared" si="11"/>
        <v>0</v>
      </c>
      <c r="W67" s="48"/>
      <c r="Y67" s="43">
        <f t="shared" si="16"/>
        <v>45598</v>
      </c>
      <c r="Z67" s="43">
        <f t="shared" si="17"/>
        <v>45598</v>
      </c>
      <c r="AA67" s="43">
        <f t="shared" si="18"/>
        <v>45598</v>
      </c>
      <c r="AC67" s="44">
        <v>34</v>
      </c>
      <c r="AD67" s="43">
        <f t="shared" si="19"/>
        <v>45598</v>
      </c>
      <c r="AE67" s="43">
        <f t="shared" si="22"/>
        <v>45584</v>
      </c>
    </row>
    <row r="68" spans="2:31" x14ac:dyDescent="0.3">
      <c r="B68" s="88">
        <v>35</v>
      </c>
      <c r="C68" s="89">
        <f t="shared" si="20"/>
        <v>45628</v>
      </c>
      <c r="D68" s="90">
        <f t="shared" si="25"/>
        <v>0</v>
      </c>
      <c r="E68" s="91">
        <f t="shared" si="23"/>
        <v>0</v>
      </c>
      <c r="F68" s="92">
        <f t="shared" si="26"/>
        <v>0</v>
      </c>
      <c r="G68" s="92">
        <f t="shared" si="27"/>
        <v>0</v>
      </c>
      <c r="H68" s="92">
        <f t="shared" si="12"/>
        <v>0</v>
      </c>
      <c r="I68" s="92">
        <v>0</v>
      </c>
      <c r="J68" s="95">
        <f t="shared" si="13"/>
        <v>0</v>
      </c>
      <c r="K68" s="92">
        <f t="shared" si="28"/>
        <v>0</v>
      </c>
      <c r="L68" s="96">
        <f t="shared" si="14"/>
        <v>0</v>
      </c>
      <c r="N68" s="40">
        <f t="shared" si="29"/>
        <v>0</v>
      </c>
      <c r="O68" s="45">
        <f t="shared" si="30"/>
        <v>1</v>
      </c>
      <c r="P68" s="42">
        <f t="shared" si="24"/>
        <v>1057</v>
      </c>
      <c r="R68" s="46">
        <f t="shared" si="21"/>
        <v>0</v>
      </c>
      <c r="S68" s="47">
        <f t="shared" si="15"/>
        <v>0</v>
      </c>
      <c r="V68" s="48">
        <f t="shared" si="11"/>
        <v>0</v>
      </c>
      <c r="W68" s="48"/>
      <c r="Y68" s="43">
        <f t="shared" si="16"/>
        <v>45628</v>
      </c>
      <c r="Z68" s="43">
        <f t="shared" si="17"/>
        <v>45628</v>
      </c>
      <c r="AA68" s="43">
        <f t="shared" si="18"/>
        <v>45628</v>
      </c>
      <c r="AC68" s="44">
        <v>35</v>
      </c>
      <c r="AD68" s="43">
        <f t="shared" si="19"/>
        <v>45628</v>
      </c>
      <c r="AE68" s="43">
        <f t="shared" si="22"/>
        <v>45614</v>
      </c>
    </row>
    <row r="69" spans="2:31" ht="13.5" thickBot="1" x14ac:dyDescent="0.35">
      <c r="B69" s="88">
        <v>36</v>
      </c>
      <c r="C69" s="89">
        <f t="shared" si="20"/>
        <v>45659</v>
      </c>
      <c r="D69" s="90">
        <f t="shared" si="25"/>
        <v>0</v>
      </c>
      <c r="E69" s="91">
        <f t="shared" si="23"/>
        <v>0</v>
      </c>
      <c r="F69" s="92">
        <f t="shared" si="26"/>
        <v>0</v>
      </c>
      <c r="G69" s="92">
        <f t="shared" si="27"/>
        <v>0</v>
      </c>
      <c r="H69" s="92">
        <f t="shared" si="12"/>
        <v>0</v>
      </c>
      <c r="I69" s="92">
        <v>0</v>
      </c>
      <c r="J69" s="95">
        <f t="shared" si="13"/>
        <v>0</v>
      </c>
      <c r="K69" s="92">
        <f t="shared" si="28"/>
        <v>0</v>
      </c>
      <c r="L69" s="96">
        <f t="shared" si="14"/>
        <v>0</v>
      </c>
      <c r="N69" s="40">
        <f t="shared" si="29"/>
        <v>0</v>
      </c>
      <c r="O69" s="45">
        <f t="shared" si="30"/>
        <v>1</v>
      </c>
      <c r="P69" s="42">
        <f t="shared" si="24"/>
        <v>1088</v>
      </c>
      <c r="R69" s="46">
        <f t="shared" si="21"/>
        <v>0</v>
      </c>
      <c r="S69" s="47">
        <f t="shared" si="15"/>
        <v>0</v>
      </c>
      <c r="V69" s="48">
        <f t="shared" si="11"/>
        <v>0</v>
      </c>
      <c r="W69" s="48"/>
      <c r="Y69" s="43">
        <f t="shared" si="16"/>
        <v>45659</v>
      </c>
      <c r="Z69" s="43">
        <f t="shared" si="17"/>
        <v>45659</v>
      </c>
      <c r="AA69" s="43">
        <f t="shared" si="18"/>
        <v>45659</v>
      </c>
      <c r="AC69" s="44">
        <v>36</v>
      </c>
      <c r="AD69" s="43">
        <f t="shared" si="19"/>
        <v>45659</v>
      </c>
      <c r="AE69" s="43">
        <f t="shared" si="22"/>
        <v>45644</v>
      </c>
    </row>
    <row r="70" spans="2:31" hidden="1" x14ac:dyDescent="0.3">
      <c r="B70" s="88">
        <v>37</v>
      </c>
      <c r="C70" s="89">
        <f t="shared" si="20"/>
        <v>45690</v>
      </c>
      <c r="D70" s="90">
        <f t="shared" si="25"/>
        <v>0</v>
      </c>
      <c r="E70" s="91">
        <f t="shared" si="23"/>
        <v>0</v>
      </c>
      <c r="F70" s="92">
        <f t="shared" si="26"/>
        <v>0</v>
      </c>
      <c r="G70" s="92">
        <f t="shared" si="27"/>
        <v>0</v>
      </c>
      <c r="H70" s="92">
        <f t="shared" si="12"/>
        <v>0</v>
      </c>
      <c r="I70" s="92">
        <v>0</v>
      </c>
      <c r="J70" s="95">
        <f t="shared" si="13"/>
        <v>0</v>
      </c>
      <c r="K70" s="92">
        <f t="shared" si="28"/>
        <v>0</v>
      </c>
      <c r="L70" s="96">
        <f t="shared" si="14"/>
        <v>0</v>
      </c>
      <c r="N70" s="40">
        <f t="shared" si="29"/>
        <v>0</v>
      </c>
      <c r="O70" s="45">
        <f t="shared" si="30"/>
        <v>1</v>
      </c>
      <c r="P70" s="42">
        <f t="shared" si="24"/>
        <v>1119</v>
      </c>
      <c r="R70" s="46">
        <f t="shared" si="21"/>
        <v>0</v>
      </c>
      <c r="S70" s="47">
        <f t="shared" si="15"/>
        <v>0</v>
      </c>
      <c r="V70" s="48">
        <f t="shared" si="11"/>
        <v>0</v>
      </c>
      <c r="W70" s="48"/>
      <c r="Y70" s="43">
        <f t="shared" si="16"/>
        <v>45690</v>
      </c>
      <c r="Z70" s="43">
        <f t="shared" si="17"/>
        <v>45690</v>
      </c>
      <c r="AA70" s="43">
        <f t="shared" si="18"/>
        <v>45690</v>
      </c>
      <c r="AC70" s="44">
        <v>37</v>
      </c>
      <c r="AD70" s="43">
        <f t="shared" si="19"/>
        <v>45690</v>
      </c>
      <c r="AE70" s="43">
        <f t="shared" si="22"/>
        <v>45674</v>
      </c>
    </row>
    <row r="71" spans="2:31" hidden="1" x14ac:dyDescent="0.3">
      <c r="B71" s="88">
        <v>38</v>
      </c>
      <c r="C71" s="89">
        <f t="shared" si="20"/>
        <v>45718</v>
      </c>
      <c r="D71" s="90">
        <f t="shared" si="25"/>
        <v>0</v>
      </c>
      <c r="E71" s="91">
        <f t="shared" si="23"/>
        <v>0</v>
      </c>
      <c r="F71" s="92">
        <f t="shared" si="26"/>
        <v>0</v>
      </c>
      <c r="G71" s="92">
        <f t="shared" si="27"/>
        <v>0</v>
      </c>
      <c r="H71" s="92">
        <f t="shared" si="12"/>
        <v>0</v>
      </c>
      <c r="I71" s="92">
        <v>0</v>
      </c>
      <c r="J71" s="95">
        <f t="shared" si="13"/>
        <v>0</v>
      </c>
      <c r="K71" s="92">
        <f t="shared" si="28"/>
        <v>0</v>
      </c>
      <c r="L71" s="96">
        <f t="shared" si="14"/>
        <v>0</v>
      </c>
      <c r="N71" s="40">
        <f t="shared" si="29"/>
        <v>0</v>
      </c>
      <c r="O71" s="45">
        <f t="shared" si="30"/>
        <v>1</v>
      </c>
      <c r="P71" s="42">
        <f t="shared" si="24"/>
        <v>1147</v>
      </c>
      <c r="R71" s="46">
        <f t="shared" si="21"/>
        <v>0</v>
      </c>
      <c r="S71" s="47">
        <f t="shared" si="15"/>
        <v>0</v>
      </c>
      <c r="V71" s="48">
        <f t="shared" si="11"/>
        <v>0</v>
      </c>
      <c r="W71" s="48"/>
      <c r="Y71" s="43">
        <f t="shared" si="16"/>
        <v>45718</v>
      </c>
      <c r="Z71" s="43">
        <f t="shared" si="17"/>
        <v>45718</v>
      </c>
      <c r="AA71" s="43">
        <f t="shared" si="18"/>
        <v>45718</v>
      </c>
      <c r="AC71" s="44">
        <v>38</v>
      </c>
      <c r="AD71" s="43">
        <f t="shared" si="19"/>
        <v>45718</v>
      </c>
      <c r="AE71" s="43">
        <f t="shared" si="22"/>
        <v>45704</v>
      </c>
    </row>
    <row r="72" spans="2:31" hidden="1" x14ac:dyDescent="0.3">
      <c r="B72" s="88">
        <v>39</v>
      </c>
      <c r="C72" s="89">
        <f t="shared" si="20"/>
        <v>45749</v>
      </c>
      <c r="D72" s="90">
        <f t="shared" si="25"/>
        <v>0</v>
      </c>
      <c r="E72" s="91">
        <f t="shared" si="23"/>
        <v>0</v>
      </c>
      <c r="F72" s="92">
        <f t="shared" si="26"/>
        <v>0</v>
      </c>
      <c r="G72" s="92">
        <f t="shared" si="27"/>
        <v>0</v>
      </c>
      <c r="H72" s="92">
        <f t="shared" si="12"/>
        <v>0</v>
      </c>
      <c r="I72" s="92">
        <v>0</v>
      </c>
      <c r="J72" s="95">
        <f t="shared" si="13"/>
        <v>0</v>
      </c>
      <c r="K72" s="92">
        <f t="shared" si="28"/>
        <v>0</v>
      </c>
      <c r="L72" s="96">
        <f t="shared" si="14"/>
        <v>0</v>
      </c>
      <c r="N72" s="40">
        <f t="shared" si="29"/>
        <v>0</v>
      </c>
      <c r="O72" s="45">
        <f t="shared" si="30"/>
        <v>1</v>
      </c>
      <c r="P72" s="42">
        <f t="shared" si="24"/>
        <v>1178</v>
      </c>
      <c r="R72" s="46">
        <f t="shared" si="21"/>
        <v>0</v>
      </c>
      <c r="S72" s="47">
        <f t="shared" si="15"/>
        <v>0</v>
      </c>
      <c r="V72" s="48">
        <f t="shared" si="11"/>
        <v>0</v>
      </c>
      <c r="W72" s="48"/>
      <c r="Y72" s="43">
        <f t="shared" si="16"/>
        <v>45749</v>
      </c>
      <c r="Z72" s="43">
        <f t="shared" si="17"/>
        <v>45749</v>
      </c>
      <c r="AA72" s="43">
        <f t="shared" si="18"/>
        <v>45749</v>
      </c>
      <c r="AC72" s="44">
        <v>39</v>
      </c>
      <c r="AD72" s="43">
        <f t="shared" si="19"/>
        <v>45749</v>
      </c>
      <c r="AE72" s="43">
        <f t="shared" si="22"/>
        <v>45734</v>
      </c>
    </row>
    <row r="73" spans="2:31" hidden="1" x14ac:dyDescent="0.3">
      <c r="B73" s="88">
        <v>40</v>
      </c>
      <c r="C73" s="89">
        <f t="shared" si="20"/>
        <v>45779</v>
      </c>
      <c r="D73" s="90">
        <f t="shared" si="25"/>
        <v>0</v>
      </c>
      <c r="E73" s="91">
        <f t="shared" si="23"/>
        <v>0</v>
      </c>
      <c r="F73" s="92">
        <f t="shared" si="26"/>
        <v>0</v>
      </c>
      <c r="G73" s="92">
        <f t="shared" si="27"/>
        <v>0</v>
      </c>
      <c r="H73" s="92">
        <f t="shared" si="12"/>
        <v>0</v>
      </c>
      <c r="I73" s="92">
        <v>0</v>
      </c>
      <c r="J73" s="95">
        <f t="shared" si="13"/>
        <v>0</v>
      </c>
      <c r="K73" s="92">
        <f t="shared" si="28"/>
        <v>0</v>
      </c>
      <c r="L73" s="96">
        <f t="shared" si="14"/>
        <v>0</v>
      </c>
      <c r="N73" s="40">
        <f t="shared" si="29"/>
        <v>0</v>
      </c>
      <c r="O73" s="45">
        <f t="shared" si="30"/>
        <v>1</v>
      </c>
      <c r="P73" s="42">
        <f t="shared" si="24"/>
        <v>1208</v>
      </c>
      <c r="R73" s="46">
        <f t="shared" si="21"/>
        <v>0</v>
      </c>
      <c r="S73" s="47">
        <f t="shared" si="15"/>
        <v>0</v>
      </c>
      <c r="V73" s="48">
        <f t="shared" si="11"/>
        <v>0</v>
      </c>
      <c r="W73" s="48"/>
      <c r="Y73" s="43">
        <f t="shared" si="16"/>
        <v>45779</v>
      </c>
      <c r="Z73" s="43">
        <f t="shared" si="17"/>
        <v>45779</v>
      </c>
      <c r="AA73" s="43">
        <f t="shared" si="18"/>
        <v>45779</v>
      </c>
      <c r="AC73" s="44">
        <v>40</v>
      </c>
      <c r="AD73" s="43">
        <f t="shared" si="19"/>
        <v>45779</v>
      </c>
      <c r="AE73" s="43">
        <f t="shared" si="22"/>
        <v>45764</v>
      </c>
    </row>
    <row r="74" spans="2:31" hidden="1" x14ac:dyDescent="0.3">
      <c r="B74" s="88">
        <v>41</v>
      </c>
      <c r="C74" s="89">
        <f t="shared" si="20"/>
        <v>45810</v>
      </c>
      <c r="D74" s="90">
        <f t="shared" si="25"/>
        <v>0</v>
      </c>
      <c r="E74" s="91">
        <f t="shared" si="23"/>
        <v>0</v>
      </c>
      <c r="F74" s="92">
        <f t="shared" si="26"/>
        <v>0</v>
      </c>
      <c r="G74" s="92">
        <f t="shared" si="27"/>
        <v>0</v>
      </c>
      <c r="H74" s="92">
        <f t="shared" si="12"/>
        <v>0</v>
      </c>
      <c r="I74" s="92">
        <v>0</v>
      </c>
      <c r="J74" s="95">
        <f t="shared" si="13"/>
        <v>0</v>
      </c>
      <c r="K74" s="92">
        <f t="shared" si="28"/>
        <v>0</v>
      </c>
      <c r="L74" s="96">
        <f t="shared" si="14"/>
        <v>0</v>
      </c>
      <c r="N74" s="40">
        <f t="shared" si="29"/>
        <v>0</v>
      </c>
      <c r="O74" s="45">
        <f t="shared" si="30"/>
        <v>1</v>
      </c>
      <c r="P74" s="42">
        <f t="shared" si="24"/>
        <v>1239</v>
      </c>
      <c r="R74" s="46">
        <f t="shared" si="21"/>
        <v>0</v>
      </c>
      <c r="S74" s="47">
        <f t="shared" si="15"/>
        <v>0</v>
      </c>
      <c r="V74" s="48">
        <f t="shared" si="11"/>
        <v>0</v>
      </c>
      <c r="W74" s="48"/>
      <c r="Y74" s="43">
        <f t="shared" si="16"/>
        <v>45810</v>
      </c>
      <c r="Z74" s="43">
        <f t="shared" si="17"/>
        <v>45810</v>
      </c>
      <c r="AA74" s="43">
        <f t="shared" si="18"/>
        <v>45810</v>
      </c>
      <c r="AC74" s="44">
        <v>41</v>
      </c>
      <c r="AD74" s="43">
        <f t="shared" si="19"/>
        <v>45810</v>
      </c>
      <c r="AE74" s="43">
        <f t="shared" si="22"/>
        <v>45794</v>
      </c>
    </row>
    <row r="75" spans="2:31" hidden="1" x14ac:dyDescent="0.3">
      <c r="B75" s="88">
        <v>42</v>
      </c>
      <c r="C75" s="89">
        <f t="shared" si="20"/>
        <v>45840</v>
      </c>
      <c r="D75" s="90">
        <f t="shared" si="25"/>
        <v>0</v>
      </c>
      <c r="E75" s="91">
        <f t="shared" si="23"/>
        <v>0</v>
      </c>
      <c r="F75" s="92">
        <f t="shared" si="26"/>
        <v>0</v>
      </c>
      <c r="G75" s="92">
        <f t="shared" si="27"/>
        <v>0</v>
      </c>
      <c r="H75" s="92">
        <f t="shared" si="12"/>
        <v>0</v>
      </c>
      <c r="I75" s="92">
        <v>0</v>
      </c>
      <c r="J75" s="95">
        <f t="shared" si="13"/>
        <v>0</v>
      </c>
      <c r="K75" s="92">
        <f t="shared" si="28"/>
        <v>0</v>
      </c>
      <c r="L75" s="96">
        <f t="shared" si="14"/>
        <v>0</v>
      </c>
      <c r="N75" s="40">
        <f t="shared" si="29"/>
        <v>0</v>
      </c>
      <c r="O75" s="45">
        <f t="shared" si="30"/>
        <v>1</v>
      </c>
      <c r="P75" s="42">
        <f t="shared" si="24"/>
        <v>1269</v>
      </c>
      <c r="R75" s="46">
        <f t="shared" si="21"/>
        <v>0</v>
      </c>
      <c r="S75" s="47">
        <f t="shared" si="15"/>
        <v>0</v>
      </c>
      <c r="V75" s="48">
        <f t="shared" si="11"/>
        <v>0</v>
      </c>
      <c r="W75" s="48"/>
      <c r="Y75" s="43">
        <f t="shared" si="16"/>
        <v>45840</v>
      </c>
      <c r="Z75" s="43">
        <f t="shared" si="17"/>
        <v>45840</v>
      </c>
      <c r="AA75" s="43">
        <f t="shared" si="18"/>
        <v>45840</v>
      </c>
      <c r="AC75" s="44">
        <v>42</v>
      </c>
      <c r="AD75" s="43">
        <f t="shared" si="19"/>
        <v>45840</v>
      </c>
      <c r="AE75" s="43">
        <f t="shared" si="22"/>
        <v>45824</v>
      </c>
    </row>
    <row r="76" spans="2:31" hidden="1" x14ac:dyDescent="0.3">
      <c r="B76" s="88">
        <v>43</v>
      </c>
      <c r="C76" s="89">
        <f t="shared" si="20"/>
        <v>45871</v>
      </c>
      <c r="D76" s="90">
        <f t="shared" si="25"/>
        <v>0</v>
      </c>
      <c r="E76" s="91">
        <f t="shared" si="23"/>
        <v>0</v>
      </c>
      <c r="F76" s="92">
        <f t="shared" si="26"/>
        <v>0</v>
      </c>
      <c r="G76" s="92">
        <f t="shared" si="27"/>
        <v>0</v>
      </c>
      <c r="H76" s="92">
        <f t="shared" si="12"/>
        <v>0</v>
      </c>
      <c r="I76" s="92">
        <v>0</v>
      </c>
      <c r="J76" s="95">
        <f t="shared" si="13"/>
        <v>0</v>
      </c>
      <c r="K76" s="92">
        <f t="shared" si="28"/>
        <v>0</v>
      </c>
      <c r="L76" s="96">
        <f t="shared" si="14"/>
        <v>0</v>
      </c>
      <c r="N76" s="40">
        <f t="shared" si="29"/>
        <v>0</v>
      </c>
      <c r="O76" s="45">
        <f t="shared" si="30"/>
        <v>1</v>
      </c>
      <c r="P76" s="42">
        <f t="shared" si="24"/>
        <v>1300</v>
      </c>
      <c r="R76" s="46">
        <f t="shared" si="21"/>
        <v>0</v>
      </c>
      <c r="S76" s="47">
        <f t="shared" si="15"/>
        <v>0</v>
      </c>
      <c r="V76" s="48">
        <f t="shared" si="11"/>
        <v>0</v>
      </c>
      <c r="W76" s="48"/>
      <c r="Y76" s="43">
        <f t="shared" si="16"/>
        <v>45871</v>
      </c>
      <c r="Z76" s="43">
        <f t="shared" si="17"/>
        <v>45871</v>
      </c>
      <c r="AA76" s="43">
        <f t="shared" si="18"/>
        <v>45871</v>
      </c>
      <c r="AC76" s="44">
        <v>43</v>
      </c>
      <c r="AD76" s="43">
        <f t="shared" si="19"/>
        <v>45871</v>
      </c>
      <c r="AE76" s="43">
        <f t="shared" si="22"/>
        <v>45854</v>
      </c>
    </row>
    <row r="77" spans="2:31" hidden="1" x14ac:dyDescent="0.3">
      <c r="B77" s="88">
        <v>44</v>
      </c>
      <c r="C77" s="89">
        <f t="shared" si="20"/>
        <v>45902</v>
      </c>
      <c r="D77" s="90">
        <f t="shared" si="25"/>
        <v>0</v>
      </c>
      <c r="E77" s="91">
        <f t="shared" si="23"/>
        <v>0</v>
      </c>
      <c r="F77" s="92">
        <f t="shared" si="26"/>
        <v>0</v>
      </c>
      <c r="G77" s="92">
        <f t="shared" si="27"/>
        <v>0</v>
      </c>
      <c r="H77" s="92">
        <f t="shared" si="12"/>
        <v>0</v>
      </c>
      <c r="I77" s="92">
        <v>0</v>
      </c>
      <c r="J77" s="95">
        <f t="shared" si="13"/>
        <v>0</v>
      </c>
      <c r="K77" s="92">
        <f t="shared" si="28"/>
        <v>0</v>
      </c>
      <c r="L77" s="96">
        <f t="shared" si="14"/>
        <v>0</v>
      </c>
      <c r="N77" s="40">
        <f t="shared" si="29"/>
        <v>0</v>
      </c>
      <c r="O77" s="45">
        <f t="shared" si="30"/>
        <v>1</v>
      </c>
      <c r="P77" s="42">
        <f t="shared" si="24"/>
        <v>1331</v>
      </c>
      <c r="R77" s="46">
        <f t="shared" si="21"/>
        <v>0</v>
      </c>
      <c r="S77" s="47">
        <f t="shared" si="15"/>
        <v>0</v>
      </c>
      <c r="V77" s="48">
        <f t="shared" si="11"/>
        <v>0</v>
      </c>
      <c r="W77" s="48"/>
      <c r="Y77" s="43">
        <f t="shared" si="16"/>
        <v>45902</v>
      </c>
      <c r="Z77" s="43">
        <f t="shared" si="17"/>
        <v>45902</v>
      </c>
      <c r="AA77" s="43">
        <f t="shared" si="18"/>
        <v>45902</v>
      </c>
      <c r="AC77" s="44">
        <v>44</v>
      </c>
      <c r="AD77" s="43">
        <f t="shared" si="19"/>
        <v>45902</v>
      </c>
      <c r="AE77" s="43">
        <f t="shared" si="22"/>
        <v>45884</v>
      </c>
    </row>
    <row r="78" spans="2:31" hidden="1" x14ac:dyDescent="0.3">
      <c r="B78" s="88">
        <v>45</v>
      </c>
      <c r="C78" s="89">
        <f t="shared" si="20"/>
        <v>45932</v>
      </c>
      <c r="D78" s="90">
        <f t="shared" si="25"/>
        <v>0</v>
      </c>
      <c r="E78" s="91">
        <f t="shared" si="23"/>
        <v>0</v>
      </c>
      <c r="F78" s="92">
        <f t="shared" si="26"/>
        <v>0</v>
      </c>
      <c r="G78" s="92">
        <f t="shared" si="27"/>
        <v>0</v>
      </c>
      <c r="H78" s="92">
        <f t="shared" si="12"/>
        <v>0</v>
      </c>
      <c r="I78" s="92">
        <v>0</v>
      </c>
      <c r="J78" s="95">
        <f t="shared" si="13"/>
        <v>0</v>
      </c>
      <c r="K78" s="92">
        <f t="shared" si="28"/>
        <v>0</v>
      </c>
      <c r="L78" s="96">
        <f t="shared" si="14"/>
        <v>0</v>
      </c>
      <c r="N78" s="40">
        <f t="shared" si="29"/>
        <v>0</v>
      </c>
      <c r="O78" s="45">
        <f t="shared" si="30"/>
        <v>1</v>
      </c>
      <c r="P78" s="42">
        <f t="shared" si="24"/>
        <v>1361</v>
      </c>
      <c r="R78" s="46">
        <f t="shared" si="21"/>
        <v>0</v>
      </c>
      <c r="S78" s="47">
        <f t="shared" si="15"/>
        <v>0</v>
      </c>
      <c r="V78" s="48">
        <f t="shared" si="11"/>
        <v>0</v>
      </c>
      <c r="W78" s="48"/>
      <c r="Y78" s="43">
        <f t="shared" si="16"/>
        <v>45932</v>
      </c>
      <c r="Z78" s="43">
        <f t="shared" si="17"/>
        <v>45932</v>
      </c>
      <c r="AA78" s="43">
        <f t="shared" si="18"/>
        <v>45932</v>
      </c>
      <c r="AC78" s="44">
        <v>45</v>
      </c>
      <c r="AD78" s="43">
        <f t="shared" si="19"/>
        <v>45932</v>
      </c>
      <c r="AE78" s="43">
        <f t="shared" si="22"/>
        <v>45914</v>
      </c>
    </row>
    <row r="79" spans="2:31" hidden="1" x14ac:dyDescent="0.3">
      <c r="B79" s="88">
        <v>46</v>
      </c>
      <c r="C79" s="89">
        <f t="shared" si="20"/>
        <v>45963</v>
      </c>
      <c r="D79" s="90">
        <f t="shared" si="25"/>
        <v>0</v>
      </c>
      <c r="E79" s="91">
        <f t="shared" si="23"/>
        <v>0</v>
      </c>
      <c r="F79" s="92">
        <f t="shared" si="26"/>
        <v>0</v>
      </c>
      <c r="G79" s="92">
        <f t="shared" si="27"/>
        <v>0</v>
      </c>
      <c r="H79" s="92">
        <f t="shared" si="12"/>
        <v>0</v>
      </c>
      <c r="I79" s="92">
        <v>0</v>
      </c>
      <c r="J79" s="95">
        <f t="shared" si="13"/>
        <v>0</v>
      </c>
      <c r="K79" s="92">
        <f t="shared" si="28"/>
        <v>0</v>
      </c>
      <c r="L79" s="96">
        <f t="shared" si="14"/>
        <v>0</v>
      </c>
      <c r="N79" s="40">
        <f t="shared" si="29"/>
        <v>0</v>
      </c>
      <c r="O79" s="45">
        <f t="shared" si="30"/>
        <v>1</v>
      </c>
      <c r="P79" s="42">
        <f t="shared" si="24"/>
        <v>1392</v>
      </c>
      <c r="R79" s="46">
        <f t="shared" si="21"/>
        <v>0</v>
      </c>
      <c r="S79" s="47">
        <f t="shared" si="15"/>
        <v>0</v>
      </c>
      <c r="V79" s="48">
        <f t="shared" si="11"/>
        <v>0</v>
      </c>
      <c r="W79" s="48"/>
      <c r="Y79" s="43">
        <f t="shared" si="16"/>
        <v>45963</v>
      </c>
      <c r="Z79" s="43">
        <f t="shared" si="17"/>
        <v>45963</v>
      </c>
      <c r="AA79" s="43">
        <f t="shared" si="18"/>
        <v>45963</v>
      </c>
      <c r="AC79" s="44">
        <v>46</v>
      </c>
      <c r="AD79" s="43">
        <f t="shared" si="19"/>
        <v>45963</v>
      </c>
      <c r="AE79" s="43">
        <f t="shared" si="22"/>
        <v>45944</v>
      </c>
    </row>
    <row r="80" spans="2:31" hidden="1" x14ac:dyDescent="0.3">
      <c r="B80" s="88">
        <v>47</v>
      </c>
      <c r="C80" s="89">
        <f t="shared" si="20"/>
        <v>45993</v>
      </c>
      <c r="D80" s="90">
        <f t="shared" si="25"/>
        <v>0</v>
      </c>
      <c r="E80" s="91">
        <f t="shared" si="23"/>
        <v>0</v>
      </c>
      <c r="F80" s="92">
        <f t="shared" si="26"/>
        <v>0</v>
      </c>
      <c r="G80" s="92">
        <f t="shared" si="27"/>
        <v>0</v>
      </c>
      <c r="H80" s="92">
        <f t="shared" si="12"/>
        <v>0</v>
      </c>
      <c r="I80" s="92">
        <v>0</v>
      </c>
      <c r="J80" s="95">
        <f t="shared" si="13"/>
        <v>0</v>
      </c>
      <c r="K80" s="92">
        <f t="shared" si="28"/>
        <v>0</v>
      </c>
      <c r="L80" s="96">
        <f t="shared" si="14"/>
        <v>0</v>
      </c>
      <c r="N80" s="40">
        <f t="shared" si="29"/>
        <v>0</v>
      </c>
      <c r="O80" s="45">
        <f t="shared" si="30"/>
        <v>1</v>
      </c>
      <c r="P80" s="42">
        <f t="shared" si="24"/>
        <v>1422</v>
      </c>
      <c r="R80" s="46">
        <f t="shared" si="21"/>
        <v>0</v>
      </c>
      <c r="S80" s="47">
        <f t="shared" si="15"/>
        <v>0</v>
      </c>
      <c r="V80" s="48">
        <f t="shared" si="11"/>
        <v>0</v>
      </c>
      <c r="W80" s="48"/>
      <c r="Y80" s="43">
        <f t="shared" si="16"/>
        <v>45993</v>
      </c>
      <c r="Z80" s="43">
        <f t="shared" si="17"/>
        <v>45993</v>
      </c>
      <c r="AA80" s="43">
        <f t="shared" si="18"/>
        <v>45993</v>
      </c>
      <c r="AC80" s="44">
        <v>47</v>
      </c>
      <c r="AD80" s="43">
        <f t="shared" si="19"/>
        <v>45993</v>
      </c>
      <c r="AE80" s="43">
        <f t="shared" si="22"/>
        <v>45974</v>
      </c>
    </row>
    <row r="81" spans="2:31" ht="13.5" hidden="1" thickBot="1" x14ac:dyDescent="0.35">
      <c r="B81" s="88">
        <v>48</v>
      </c>
      <c r="C81" s="89">
        <f t="shared" si="20"/>
        <v>46024</v>
      </c>
      <c r="D81" s="90">
        <f t="shared" si="25"/>
        <v>0</v>
      </c>
      <c r="E81" s="91">
        <f t="shared" si="23"/>
        <v>0</v>
      </c>
      <c r="F81" s="92">
        <f t="shared" si="26"/>
        <v>0</v>
      </c>
      <c r="G81" s="92">
        <f t="shared" si="27"/>
        <v>0</v>
      </c>
      <c r="H81" s="92">
        <f t="shared" si="12"/>
        <v>0</v>
      </c>
      <c r="I81" s="92">
        <v>0</v>
      </c>
      <c r="J81" s="95">
        <f t="shared" si="13"/>
        <v>0</v>
      </c>
      <c r="K81" s="92">
        <f t="shared" si="28"/>
        <v>0</v>
      </c>
      <c r="L81" s="96">
        <f t="shared" si="14"/>
        <v>0</v>
      </c>
      <c r="N81" s="40">
        <f t="shared" si="29"/>
        <v>0</v>
      </c>
      <c r="O81" s="45">
        <f t="shared" si="30"/>
        <v>1</v>
      </c>
      <c r="P81" s="42">
        <f t="shared" si="24"/>
        <v>1453</v>
      </c>
      <c r="R81" s="46">
        <f t="shared" si="21"/>
        <v>0</v>
      </c>
      <c r="S81" s="47">
        <f t="shared" si="15"/>
        <v>0</v>
      </c>
      <c r="V81" s="48">
        <f t="shared" si="11"/>
        <v>0</v>
      </c>
      <c r="W81" s="48"/>
      <c r="Y81" s="43">
        <f t="shared" si="16"/>
        <v>46024</v>
      </c>
      <c r="Z81" s="43">
        <f t="shared" si="17"/>
        <v>46024</v>
      </c>
      <c r="AA81" s="43">
        <f t="shared" si="18"/>
        <v>46024</v>
      </c>
      <c r="AC81" s="44">
        <v>48</v>
      </c>
      <c r="AD81" s="43">
        <f t="shared" si="19"/>
        <v>46024</v>
      </c>
      <c r="AE81" s="43">
        <f t="shared" si="22"/>
        <v>46004</v>
      </c>
    </row>
    <row r="82" spans="2:31" hidden="1" x14ac:dyDescent="0.3">
      <c r="B82" s="88">
        <v>49</v>
      </c>
      <c r="C82" s="97">
        <f t="shared" si="20"/>
        <v>0</v>
      </c>
      <c r="D82" s="92">
        <f t="shared" si="25"/>
        <v>0</v>
      </c>
      <c r="E82" s="92">
        <f t="shared" si="23"/>
        <v>0</v>
      </c>
      <c r="F82" s="92">
        <f t="shared" si="26"/>
        <v>0</v>
      </c>
      <c r="G82" s="92">
        <f t="shared" si="27"/>
        <v>0</v>
      </c>
      <c r="H82" s="92">
        <f t="shared" si="12"/>
        <v>0</v>
      </c>
      <c r="I82" s="92">
        <v>0</v>
      </c>
      <c r="J82" s="92">
        <f t="shared" si="13"/>
        <v>0</v>
      </c>
      <c r="K82" s="92">
        <f t="shared" si="28"/>
        <v>0</v>
      </c>
      <c r="L82" s="98">
        <f t="shared" si="14"/>
        <v>0</v>
      </c>
      <c r="N82" s="40">
        <f t="shared" si="29"/>
        <v>0</v>
      </c>
      <c r="O82" s="45">
        <f t="shared" si="30"/>
        <v>1</v>
      </c>
      <c r="P82" s="42">
        <f t="shared" si="24"/>
        <v>-44571</v>
      </c>
      <c r="R82" s="46">
        <f t="shared" si="21"/>
        <v>0</v>
      </c>
      <c r="S82" s="47">
        <f t="shared" si="15"/>
        <v>0</v>
      </c>
      <c r="AC82" s="39">
        <v>49</v>
      </c>
    </row>
    <row r="83" spans="2:31" hidden="1" x14ac:dyDescent="0.3">
      <c r="B83" s="88">
        <v>50</v>
      </c>
      <c r="C83" s="97">
        <f t="shared" si="20"/>
        <v>0</v>
      </c>
      <c r="D83" s="92">
        <f t="shared" si="25"/>
        <v>0</v>
      </c>
      <c r="E83" s="92">
        <f t="shared" si="23"/>
        <v>0</v>
      </c>
      <c r="F83" s="92">
        <f t="shared" si="26"/>
        <v>0</v>
      </c>
      <c r="G83" s="92">
        <f t="shared" si="27"/>
        <v>0</v>
      </c>
      <c r="H83" s="92">
        <f t="shared" si="12"/>
        <v>0</v>
      </c>
      <c r="I83" s="92">
        <v>0</v>
      </c>
      <c r="J83" s="92">
        <f t="shared" si="13"/>
        <v>0</v>
      </c>
      <c r="K83" s="92">
        <f t="shared" si="28"/>
        <v>0</v>
      </c>
      <c r="L83" s="98">
        <f t="shared" si="14"/>
        <v>0</v>
      </c>
      <c r="N83" s="40">
        <f t="shared" si="29"/>
        <v>0</v>
      </c>
      <c r="O83" s="45">
        <f t="shared" si="30"/>
        <v>1</v>
      </c>
      <c r="P83" s="42">
        <f t="shared" si="24"/>
        <v>-44571</v>
      </c>
      <c r="R83" s="46">
        <f t="shared" si="21"/>
        <v>0</v>
      </c>
      <c r="S83" s="47">
        <f t="shared" si="15"/>
        <v>0</v>
      </c>
      <c r="AC83" s="39">
        <v>50</v>
      </c>
    </row>
    <row r="84" spans="2:31" hidden="1" x14ac:dyDescent="0.3">
      <c r="B84" s="88">
        <v>51</v>
      </c>
      <c r="C84" s="97">
        <f t="shared" si="20"/>
        <v>0</v>
      </c>
      <c r="D84" s="92">
        <f t="shared" si="25"/>
        <v>0</v>
      </c>
      <c r="E84" s="92">
        <f t="shared" si="23"/>
        <v>0</v>
      </c>
      <c r="F84" s="92">
        <f t="shared" si="26"/>
        <v>0</v>
      </c>
      <c r="G84" s="92">
        <f t="shared" si="27"/>
        <v>0</v>
      </c>
      <c r="H84" s="92">
        <f t="shared" si="12"/>
        <v>0</v>
      </c>
      <c r="I84" s="92">
        <v>0</v>
      </c>
      <c r="J84" s="92">
        <f t="shared" si="13"/>
        <v>0</v>
      </c>
      <c r="K84" s="92">
        <f t="shared" si="28"/>
        <v>0</v>
      </c>
      <c r="L84" s="98">
        <f t="shared" si="14"/>
        <v>0</v>
      </c>
      <c r="N84" s="40">
        <f t="shared" si="29"/>
        <v>0</v>
      </c>
      <c r="O84" s="45">
        <f t="shared" si="30"/>
        <v>1</v>
      </c>
      <c r="P84" s="42">
        <f t="shared" si="24"/>
        <v>-44571</v>
      </c>
      <c r="R84" s="46">
        <f t="shared" si="21"/>
        <v>0</v>
      </c>
      <c r="S84" s="47">
        <f t="shared" si="15"/>
        <v>0</v>
      </c>
      <c r="AC84" s="39">
        <v>51</v>
      </c>
    </row>
    <row r="85" spans="2:31" hidden="1" x14ac:dyDescent="0.3">
      <c r="B85" s="88">
        <v>52</v>
      </c>
      <c r="C85" s="97">
        <f t="shared" si="20"/>
        <v>0</v>
      </c>
      <c r="D85" s="92">
        <f t="shared" si="25"/>
        <v>0</v>
      </c>
      <c r="E85" s="92">
        <f t="shared" si="23"/>
        <v>0</v>
      </c>
      <c r="F85" s="92">
        <f t="shared" si="26"/>
        <v>0</v>
      </c>
      <c r="G85" s="92">
        <f t="shared" si="27"/>
        <v>0</v>
      </c>
      <c r="H85" s="92">
        <f t="shared" si="12"/>
        <v>0</v>
      </c>
      <c r="I85" s="92">
        <v>0</v>
      </c>
      <c r="J85" s="92">
        <f t="shared" si="13"/>
        <v>0</v>
      </c>
      <c r="K85" s="92">
        <f t="shared" si="28"/>
        <v>0</v>
      </c>
      <c r="L85" s="98">
        <f t="shared" si="14"/>
        <v>0</v>
      </c>
      <c r="N85" s="40">
        <f t="shared" si="29"/>
        <v>0</v>
      </c>
      <c r="O85" s="45">
        <f t="shared" si="30"/>
        <v>1</v>
      </c>
      <c r="P85" s="42">
        <f t="shared" si="24"/>
        <v>-44571</v>
      </c>
      <c r="R85" s="46">
        <f t="shared" si="21"/>
        <v>0</v>
      </c>
      <c r="S85" s="47">
        <f t="shared" si="15"/>
        <v>0</v>
      </c>
      <c r="AC85" s="39">
        <v>52</v>
      </c>
    </row>
    <row r="86" spans="2:31" hidden="1" x14ac:dyDescent="0.3">
      <c r="B86" s="88">
        <v>53</v>
      </c>
      <c r="C86" s="97">
        <f t="shared" si="20"/>
        <v>0</v>
      </c>
      <c r="D86" s="92">
        <f t="shared" si="25"/>
        <v>0</v>
      </c>
      <c r="E86" s="92">
        <f t="shared" si="23"/>
        <v>0</v>
      </c>
      <c r="F86" s="92">
        <f t="shared" si="26"/>
        <v>0</v>
      </c>
      <c r="G86" s="92">
        <f t="shared" si="27"/>
        <v>0</v>
      </c>
      <c r="H86" s="92">
        <f t="shared" si="12"/>
        <v>0</v>
      </c>
      <c r="I86" s="92">
        <v>0</v>
      </c>
      <c r="J86" s="92">
        <f t="shared" si="13"/>
        <v>0</v>
      </c>
      <c r="K86" s="92">
        <f t="shared" si="28"/>
        <v>0</v>
      </c>
      <c r="L86" s="98">
        <f t="shared" si="14"/>
        <v>0</v>
      </c>
      <c r="N86" s="40">
        <f t="shared" si="29"/>
        <v>0</v>
      </c>
      <c r="O86" s="45">
        <f t="shared" si="30"/>
        <v>1</v>
      </c>
      <c r="P86" s="42">
        <f t="shared" si="24"/>
        <v>-44571</v>
      </c>
      <c r="R86" s="46">
        <f t="shared" si="21"/>
        <v>0</v>
      </c>
      <c r="S86" s="47">
        <f t="shared" si="15"/>
        <v>0</v>
      </c>
      <c r="AC86" s="39">
        <v>53</v>
      </c>
    </row>
    <row r="87" spans="2:31" hidden="1" x14ac:dyDescent="0.3">
      <c r="B87" s="88">
        <v>54</v>
      </c>
      <c r="C87" s="97">
        <f t="shared" si="20"/>
        <v>0</v>
      </c>
      <c r="D87" s="92">
        <f t="shared" si="25"/>
        <v>0</v>
      </c>
      <c r="E87" s="92">
        <f t="shared" si="23"/>
        <v>0</v>
      </c>
      <c r="F87" s="92">
        <f t="shared" si="26"/>
        <v>0</v>
      </c>
      <c r="G87" s="92">
        <f t="shared" si="27"/>
        <v>0</v>
      </c>
      <c r="H87" s="92">
        <f t="shared" si="12"/>
        <v>0</v>
      </c>
      <c r="I87" s="92">
        <v>0</v>
      </c>
      <c r="J87" s="92">
        <f t="shared" si="13"/>
        <v>0</v>
      </c>
      <c r="K87" s="92">
        <f t="shared" si="28"/>
        <v>0</v>
      </c>
      <c r="L87" s="98">
        <f t="shared" si="14"/>
        <v>0</v>
      </c>
      <c r="N87" s="40">
        <f t="shared" si="29"/>
        <v>0</v>
      </c>
      <c r="O87" s="45">
        <f t="shared" si="30"/>
        <v>1</v>
      </c>
      <c r="P87" s="42">
        <f t="shared" si="24"/>
        <v>-44571</v>
      </c>
      <c r="R87" s="46">
        <f t="shared" si="21"/>
        <v>0</v>
      </c>
      <c r="S87" s="47">
        <f t="shared" si="15"/>
        <v>0</v>
      </c>
      <c r="AC87" s="39">
        <v>54</v>
      </c>
    </row>
    <row r="88" spans="2:31" hidden="1" x14ac:dyDescent="0.3">
      <c r="B88" s="88">
        <v>55</v>
      </c>
      <c r="C88" s="97">
        <f t="shared" si="20"/>
        <v>0</v>
      </c>
      <c r="D88" s="92">
        <f t="shared" si="25"/>
        <v>0</v>
      </c>
      <c r="E88" s="92">
        <f t="shared" si="23"/>
        <v>0</v>
      </c>
      <c r="F88" s="92">
        <f t="shared" si="26"/>
        <v>0</v>
      </c>
      <c r="G88" s="92">
        <f t="shared" si="27"/>
        <v>0</v>
      </c>
      <c r="H88" s="92">
        <f t="shared" si="12"/>
        <v>0</v>
      </c>
      <c r="I88" s="92">
        <v>0</v>
      </c>
      <c r="J88" s="92">
        <f t="shared" si="13"/>
        <v>0</v>
      </c>
      <c r="K88" s="92">
        <f t="shared" si="28"/>
        <v>0</v>
      </c>
      <c r="L88" s="98">
        <f t="shared" si="14"/>
        <v>0</v>
      </c>
      <c r="N88" s="40">
        <f t="shared" si="29"/>
        <v>0</v>
      </c>
      <c r="O88" s="45">
        <f t="shared" si="30"/>
        <v>1</v>
      </c>
      <c r="P88" s="42">
        <f t="shared" si="24"/>
        <v>-44571</v>
      </c>
      <c r="R88" s="46">
        <f t="shared" si="21"/>
        <v>0</v>
      </c>
      <c r="S88" s="47">
        <f t="shared" si="15"/>
        <v>0</v>
      </c>
      <c r="AC88" s="39">
        <v>55</v>
      </c>
    </row>
    <row r="89" spans="2:31" hidden="1" x14ac:dyDescent="0.3">
      <c r="B89" s="88">
        <v>56</v>
      </c>
      <c r="C89" s="97">
        <f t="shared" si="20"/>
        <v>0</v>
      </c>
      <c r="D89" s="92">
        <f t="shared" si="25"/>
        <v>0</v>
      </c>
      <c r="E89" s="92">
        <f t="shared" si="23"/>
        <v>0</v>
      </c>
      <c r="F89" s="92">
        <f t="shared" si="26"/>
        <v>0</v>
      </c>
      <c r="G89" s="92">
        <f t="shared" si="27"/>
        <v>0</v>
      </c>
      <c r="H89" s="92">
        <f t="shared" si="12"/>
        <v>0</v>
      </c>
      <c r="I89" s="92">
        <v>0</v>
      </c>
      <c r="J89" s="92">
        <f t="shared" si="13"/>
        <v>0</v>
      </c>
      <c r="K89" s="92">
        <f t="shared" si="28"/>
        <v>0</v>
      </c>
      <c r="L89" s="98">
        <f t="shared" si="14"/>
        <v>0</v>
      </c>
      <c r="N89" s="40">
        <f t="shared" si="29"/>
        <v>0</v>
      </c>
      <c r="O89" s="45">
        <f t="shared" si="30"/>
        <v>1</v>
      </c>
      <c r="P89" s="42">
        <f t="shared" si="24"/>
        <v>-44571</v>
      </c>
      <c r="R89" s="46">
        <f t="shared" si="21"/>
        <v>0</v>
      </c>
      <c r="S89" s="47">
        <f t="shared" si="15"/>
        <v>0</v>
      </c>
      <c r="AC89" s="39">
        <v>56</v>
      </c>
    </row>
    <row r="90" spans="2:31" hidden="1" x14ac:dyDescent="0.3">
      <c r="B90" s="88">
        <v>57</v>
      </c>
      <c r="C90" s="97">
        <f t="shared" si="20"/>
        <v>0</v>
      </c>
      <c r="D90" s="92">
        <f t="shared" si="25"/>
        <v>0</v>
      </c>
      <c r="E90" s="92">
        <f t="shared" si="23"/>
        <v>0</v>
      </c>
      <c r="F90" s="92">
        <f t="shared" si="26"/>
        <v>0</v>
      </c>
      <c r="G90" s="92">
        <f t="shared" si="27"/>
        <v>0</v>
      </c>
      <c r="H90" s="92">
        <f t="shared" si="12"/>
        <v>0</v>
      </c>
      <c r="I90" s="92">
        <v>0</v>
      </c>
      <c r="J90" s="92">
        <f t="shared" si="13"/>
        <v>0</v>
      </c>
      <c r="K90" s="92">
        <f t="shared" si="28"/>
        <v>0</v>
      </c>
      <c r="L90" s="98">
        <f t="shared" si="14"/>
        <v>0</v>
      </c>
      <c r="N90" s="40">
        <f t="shared" si="29"/>
        <v>0</v>
      </c>
      <c r="O90" s="45">
        <f t="shared" si="30"/>
        <v>1</v>
      </c>
      <c r="P90" s="42">
        <f t="shared" si="24"/>
        <v>-44571</v>
      </c>
      <c r="R90" s="46">
        <f t="shared" si="21"/>
        <v>0</v>
      </c>
      <c r="S90" s="47">
        <f t="shared" si="15"/>
        <v>0</v>
      </c>
      <c r="AC90" s="39">
        <v>57</v>
      </c>
    </row>
    <row r="91" spans="2:31" hidden="1" x14ac:dyDescent="0.3">
      <c r="B91" s="88">
        <v>58</v>
      </c>
      <c r="C91" s="97">
        <f t="shared" si="20"/>
        <v>0</v>
      </c>
      <c r="D91" s="92">
        <f t="shared" si="25"/>
        <v>0</v>
      </c>
      <c r="E91" s="92">
        <f t="shared" si="23"/>
        <v>0</v>
      </c>
      <c r="F91" s="92">
        <f t="shared" si="26"/>
        <v>0</v>
      </c>
      <c r="G91" s="92">
        <f t="shared" si="27"/>
        <v>0</v>
      </c>
      <c r="H91" s="92">
        <f t="shared" si="12"/>
        <v>0</v>
      </c>
      <c r="I91" s="92">
        <v>0</v>
      </c>
      <c r="J91" s="92">
        <f t="shared" si="13"/>
        <v>0</v>
      </c>
      <c r="K91" s="92">
        <f t="shared" si="28"/>
        <v>0</v>
      </c>
      <c r="L91" s="98">
        <f t="shared" si="14"/>
        <v>0</v>
      </c>
      <c r="N91" s="40">
        <f t="shared" si="29"/>
        <v>0</v>
      </c>
      <c r="O91" s="45">
        <f t="shared" si="30"/>
        <v>1</v>
      </c>
      <c r="P91" s="42">
        <f t="shared" si="24"/>
        <v>-44571</v>
      </c>
      <c r="R91" s="46">
        <f t="shared" si="21"/>
        <v>0</v>
      </c>
      <c r="S91" s="47">
        <f t="shared" si="15"/>
        <v>0</v>
      </c>
      <c r="AC91" s="39">
        <v>58</v>
      </c>
    </row>
    <row r="92" spans="2:31" hidden="1" x14ac:dyDescent="0.3">
      <c r="B92" s="88">
        <v>59</v>
      </c>
      <c r="C92" s="97">
        <f t="shared" si="20"/>
        <v>0</v>
      </c>
      <c r="D92" s="92">
        <f t="shared" si="25"/>
        <v>0</v>
      </c>
      <c r="E92" s="92">
        <f t="shared" si="23"/>
        <v>0</v>
      </c>
      <c r="F92" s="92">
        <f t="shared" si="26"/>
        <v>0</v>
      </c>
      <c r="G92" s="92">
        <f t="shared" si="27"/>
        <v>0</v>
      </c>
      <c r="H92" s="92">
        <f t="shared" si="12"/>
        <v>0</v>
      </c>
      <c r="I92" s="92">
        <v>0</v>
      </c>
      <c r="J92" s="92">
        <f t="shared" si="13"/>
        <v>0</v>
      </c>
      <c r="K92" s="92">
        <f t="shared" si="28"/>
        <v>0</v>
      </c>
      <c r="L92" s="98">
        <f t="shared" si="14"/>
        <v>0</v>
      </c>
      <c r="N92" s="40">
        <f t="shared" si="29"/>
        <v>0</v>
      </c>
      <c r="O92" s="45">
        <f t="shared" si="30"/>
        <v>1</v>
      </c>
      <c r="P92" s="42">
        <f t="shared" si="24"/>
        <v>-44571</v>
      </c>
      <c r="R92" s="46">
        <f t="shared" si="21"/>
        <v>0</v>
      </c>
      <c r="S92" s="47">
        <f t="shared" si="15"/>
        <v>0</v>
      </c>
      <c r="AC92" s="39">
        <v>59</v>
      </c>
    </row>
    <row r="93" spans="2:31" hidden="1" x14ac:dyDescent="0.3">
      <c r="B93" s="88">
        <v>60</v>
      </c>
      <c r="C93" s="97">
        <f t="shared" si="20"/>
        <v>0</v>
      </c>
      <c r="D93" s="92">
        <f t="shared" si="25"/>
        <v>0</v>
      </c>
      <c r="E93" s="92">
        <f t="shared" si="23"/>
        <v>0</v>
      </c>
      <c r="F93" s="92">
        <f t="shared" si="26"/>
        <v>0</v>
      </c>
      <c r="G93" s="92">
        <f t="shared" si="27"/>
        <v>0</v>
      </c>
      <c r="H93" s="92">
        <f t="shared" si="12"/>
        <v>0</v>
      </c>
      <c r="I93" s="92">
        <v>0</v>
      </c>
      <c r="J93" s="92">
        <f t="shared" si="13"/>
        <v>0</v>
      </c>
      <c r="K93" s="92">
        <f t="shared" si="28"/>
        <v>0</v>
      </c>
      <c r="L93" s="98">
        <f t="shared" si="14"/>
        <v>0</v>
      </c>
      <c r="N93" s="40">
        <f t="shared" si="29"/>
        <v>0</v>
      </c>
      <c r="O93" s="45">
        <f t="shared" si="30"/>
        <v>1</v>
      </c>
      <c r="P93" s="42">
        <f t="shared" si="24"/>
        <v>-44571</v>
      </c>
      <c r="R93" s="46">
        <f t="shared" si="21"/>
        <v>0</v>
      </c>
      <c r="S93" s="47">
        <f t="shared" si="15"/>
        <v>0</v>
      </c>
      <c r="AC93" s="39">
        <v>60</v>
      </c>
    </row>
    <row r="94" spans="2:31" hidden="1" x14ac:dyDescent="0.3">
      <c r="B94" s="88">
        <v>61</v>
      </c>
      <c r="C94" s="97">
        <f t="shared" si="20"/>
        <v>0</v>
      </c>
      <c r="D94" s="92">
        <f t="shared" si="25"/>
        <v>0</v>
      </c>
      <c r="E94" s="92">
        <f t="shared" si="23"/>
        <v>0</v>
      </c>
      <c r="F94" s="92">
        <f t="shared" si="26"/>
        <v>0</v>
      </c>
      <c r="G94" s="92">
        <f t="shared" si="27"/>
        <v>0</v>
      </c>
      <c r="H94" s="92">
        <f t="shared" si="12"/>
        <v>0</v>
      </c>
      <c r="I94" s="92">
        <v>0</v>
      </c>
      <c r="J94" s="92">
        <f t="shared" si="13"/>
        <v>0</v>
      </c>
      <c r="K94" s="92">
        <f t="shared" si="28"/>
        <v>0</v>
      </c>
      <c r="L94" s="98">
        <f t="shared" si="14"/>
        <v>0</v>
      </c>
      <c r="N94" s="40">
        <f t="shared" si="29"/>
        <v>0</v>
      </c>
      <c r="O94" s="45">
        <f t="shared" si="30"/>
        <v>1</v>
      </c>
      <c r="P94" s="42">
        <f t="shared" si="24"/>
        <v>-44571</v>
      </c>
      <c r="R94" s="46">
        <f t="shared" si="21"/>
        <v>0</v>
      </c>
      <c r="S94" s="47">
        <f t="shared" si="15"/>
        <v>0</v>
      </c>
      <c r="AC94" s="39">
        <v>61</v>
      </c>
    </row>
    <row r="95" spans="2:31" hidden="1" x14ac:dyDescent="0.3">
      <c r="B95" s="88">
        <v>62</v>
      </c>
      <c r="C95" s="97">
        <f t="shared" si="20"/>
        <v>0</v>
      </c>
      <c r="D95" s="92">
        <f t="shared" si="25"/>
        <v>0</v>
      </c>
      <c r="E95" s="92">
        <f t="shared" si="23"/>
        <v>0</v>
      </c>
      <c r="F95" s="92">
        <f t="shared" si="26"/>
        <v>0</v>
      </c>
      <c r="G95" s="92">
        <f t="shared" si="27"/>
        <v>0</v>
      </c>
      <c r="H95" s="92">
        <f t="shared" si="12"/>
        <v>0</v>
      </c>
      <c r="I95" s="92">
        <v>0</v>
      </c>
      <c r="J95" s="92">
        <f t="shared" si="13"/>
        <v>0</v>
      </c>
      <c r="K95" s="92">
        <f t="shared" si="28"/>
        <v>0</v>
      </c>
      <c r="L95" s="98">
        <f t="shared" si="14"/>
        <v>0</v>
      </c>
      <c r="N95" s="40">
        <f t="shared" si="29"/>
        <v>0</v>
      </c>
      <c r="O95" s="45">
        <f t="shared" si="30"/>
        <v>1</v>
      </c>
      <c r="P95" s="42">
        <f t="shared" si="24"/>
        <v>-44571</v>
      </c>
      <c r="R95" s="46">
        <f t="shared" si="21"/>
        <v>0</v>
      </c>
      <c r="S95" s="47">
        <f t="shared" si="15"/>
        <v>0</v>
      </c>
      <c r="AC95" s="39">
        <v>62</v>
      </c>
    </row>
    <row r="96" spans="2:31" hidden="1" x14ac:dyDescent="0.3">
      <c r="B96" s="88">
        <v>63</v>
      </c>
      <c r="C96" s="97">
        <f t="shared" si="20"/>
        <v>0</v>
      </c>
      <c r="D96" s="92">
        <f t="shared" si="25"/>
        <v>0</v>
      </c>
      <c r="E96" s="92">
        <f t="shared" si="23"/>
        <v>0</v>
      </c>
      <c r="F96" s="92">
        <f t="shared" si="26"/>
        <v>0</v>
      </c>
      <c r="G96" s="92">
        <f t="shared" si="27"/>
        <v>0</v>
      </c>
      <c r="H96" s="92">
        <f t="shared" si="12"/>
        <v>0</v>
      </c>
      <c r="I96" s="92">
        <v>0</v>
      </c>
      <c r="J96" s="92">
        <f t="shared" si="13"/>
        <v>0</v>
      </c>
      <c r="K96" s="92">
        <f t="shared" si="28"/>
        <v>0</v>
      </c>
      <c r="L96" s="98">
        <f t="shared" si="14"/>
        <v>0</v>
      </c>
      <c r="N96" s="40">
        <f t="shared" si="29"/>
        <v>0</v>
      </c>
      <c r="O96" s="45">
        <f t="shared" si="30"/>
        <v>1</v>
      </c>
      <c r="P96" s="42">
        <f t="shared" si="24"/>
        <v>-44571</v>
      </c>
      <c r="R96" s="46">
        <f t="shared" si="21"/>
        <v>0</v>
      </c>
      <c r="S96" s="47">
        <f t="shared" si="15"/>
        <v>0</v>
      </c>
      <c r="AC96" s="39">
        <v>63</v>
      </c>
    </row>
    <row r="97" spans="1:31" hidden="1" x14ac:dyDescent="0.3">
      <c r="B97" s="88">
        <v>64</v>
      </c>
      <c r="C97" s="97">
        <f t="shared" si="20"/>
        <v>0</v>
      </c>
      <c r="D97" s="92">
        <f t="shared" si="25"/>
        <v>0</v>
      </c>
      <c r="E97" s="92">
        <f t="shared" ref="E97:E105" si="31">+D97-F97</f>
        <v>0</v>
      </c>
      <c r="F97" s="92">
        <f t="shared" si="26"/>
        <v>0</v>
      </c>
      <c r="G97" s="92">
        <f t="shared" si="27"/>
        <v>0</v>
      </c>
      <c r="H97" s="92">
        <f t="shared" si="12"/>
        <v>0</v>
      </c>
      <c r="I97" s="92">
        <v>0</v>
      </c>
      <c r="J97" s="92">
        <f t="shared" si="13"/>
        <v>0</v>
      </c>
      <c r="K97" s="92">
        <f t="shared" si="28"/>
        <v>0</v>
      </c>
      <c r="L97" s="98">
        <f t="shared" si="14"/>
        <v>0</v>
      </c>
      <c r="N97" s="40">
        <f t="shared" si="29"/>
        <v>0</v>
      </c>
      <c r="O97" s="45">
        <f t="shared" si="30"/>
        <v>1</v>
      </c>
      <c r="P97" s="42">
        <f t="shared" ref="P97:P105" si="32">C97-$C$33</f>
        <v>-44571</v>
      </c>
      <c r="R97" s="46">
        <f t="shared" si="21"/>
        <v>0</v>
      </c>
      <c r="S97" s="47">
        <f t="shared" si="15"/>
        <v>0</v>
      </c>
      <c r="AC97" s="39">
        <v>64</v>
      </c>
    </row>
    <row r="98" spans="1:31" hidden="1" x14ac:dyDescent="0.3">
      <c r="B98" s="88">
        <v>65</v>
      </c>
      <c r="C98" s="97">
        <f t="shared" si="20"/>
        <v>0</v>
      </c>
      <c r="D98" s="92">
        <f t="shared" ref="D98:D105" si="33">+E97</f>
        <v>0</v>
      </c>
      <c r="E98" s="92">
        <f t="shared" si="31"/>
        <v>0</v>
      </c>
      <c r="F98" s="92">
        <f t="shared" ref="F98:F105" si="34">IF(B98&lt;$E$18,ROUND($E$19*O98,2)-G98-H98-I98,D98)</f>
        <v>0</v>
      </c>
      <c r="G98" s="92">
        <f t="shared" ref="G98:G105" si="35">IF($E$19*O98-I98-H98&lt;ROUND(R98,2),$E$19*O98-I98-H98,ROUND(R98,2))</f>
        <v>0</v>
      </c>
      <c r="H98" s="92">
        <f t="shared" si="12"/>
        <v>0</v>
      </c>
      <c r="I98" s="92">
        <v>0</v>
      </c>
      <c r="J98" s="92">
        <f t="shared" si="13"/>
        <v>0</v>
      </c>
      <c r="K98" s="92">
        <f t="shared" ref="K98:K105" si="36">+IF(B98&lt;=$E$18,$E$21,0)</f>
        <v>0</v>
      </c>
      <c r="L98" s="98">
        <f t="shared" si="14"/>
        <v>0</v>
      </c>
      <c r="N98" s="40">
        <f t="shared" ref="N98:N105" si="37">IF(B98&lt;=$E$18,ROUND((1+$G$18)^(-P98),8),0)</f>
        <v>0</v>
      </c>
      <c r="O98" s="45">
        <f t="shared" ref="O98:O105" si="38">VLOOKUP(MONTH(C98),$R$10:$S$25,2,0)</f>
        <v>1</v>
      </c>
      <c r="P98" s="42">
        <f t="shared" si="32"/>
        <v>-44571</v>
      </c>
      <c r="R98" s="46">
        <f t="shared" si="21"/>
        <v>0</v>
      </c>
      <c r="S98" s="47">
        <f t="shared" si="15"/>
        <v>0</v>
      </c>
      <c r="AC98" s="39">
        <v>65</v>
      </c>
    </row>
    <row r="99" spans="1:31" hidden="1" x14ac:dyDescent="0.3">
      <c r="B99" s="88">
        <v>66</v>
      </c>
      <c r="C99" s="97">
        <f t="shared" si="20"/>
        <v>0</v>
      </c>
      <c r="D99" s="92">
        <f t="shared" si="33"/>
        <v>0</v>
      </c>
      <c r="E99" s="92">
        <f t="shared" si="31"/>
        <v>0</v>
      </c>
      <c r="F99" s="92">
        <f t="shared" si="34"/>
        <v>0</v>
      </c>
      <c r="G99" s="92">
        <f t="shared" si="35"/>
        <v>0</v>
      </c>
      <c r="H99" s="92">
        <f t="shared" ref="H99:H105" si="39">ROUND(V99,2)</f>
        <v>0</v>
      </c>
      <c r="I99" s="92">
        <v>0</v>
      </c>
      <c r="J99" s="92">
        <f t="shared" ref="J99:J105" si="40">+G99+F99+H99+I99</f>
        <v>0</v>
      </c>
      <c r="K99" s="92">
        <f t="shared" si="36"/>
        <v>0</v>
      </c>
      <c r="L99" s="98">
        <f t="shared" ref="L99:L105" si="41">SUM(J99,K99)</f>
        <v>0</v>
      </c>
      <c r="N99" s="40">
        <f t="shared" si="37"/>
        <v>0</v>
      </c>
      <c r="O99" s="45">
        <f t="shared" si="38"/>
        <v>1</v>
      </c>
      <c r="P99" s="42">
        <f t="shared" si="32"/>
        <v>-44571</v>
      </c>
      <c r="R99" s="46">
        <f t="shared" si="21"/>
        <v>0</v>
      </c>
      <c r="S99" s="47">
        <f t="shared" ref="S99:S105" si="42">ROUND(R99-G99,2)</f>
        <v>0</v>
      </c>
      <c r="AC99" s="39">
        <v>66</v>
      </c>
    </row>
    <row r="100" spans="1:31" hidden="1" x14ac:dyDescent="0.3">
      <c r="B100" s="88">
        <v>67</v>
      </c>
      <c r="C100" s="97">
        <f t="shared" ref="C100:C105" si="43">IF($E$10="Año Base 360",AE100,AD100)</f>
        <v>0</v>
      </c>
      <c r="D100" s="92">
        <f t="shared" si="33"/>
        <v>0</v>
      </c>
      <c r="E100" s="92">
        <f t="shared" si="31"/>
        <v>0</v>
      </c>
      <c r="F100" s="92">
        <f t="shared" si="34"/>
        <v>0</v>
      </c>
      <c r="G100" s="92">
        <f t="shared" si="35"/>
        <v>0</v>
      </c>
      <c r="H100" s="92">
        <f t="shared" si="39"/>
        <v>0</v>
      </c>
      <c r="I100" s="92">
        <v>0</v>
      </c>
      <c r="J100" s="92">
        <f t="shared" si="40"/>
        <v>0</v>
      </c>
      <c r="K100" s="92">
        <f t="shared" si="36"/>
        <v>0</v>
      </c>
      <c r="L100" s="98">
        <f t="shared" si="41"/>
        <v>0</v>
      </c>
      <c r="N100" s="40">
        <f t="shared" si="37"/>
        <v>0</v>
      </c>
      <c r="O100" s="45">
        <f t="shared" si="38"/>
        <v>1</v>
      </c>
      <c r="P100" s="42">
        <f t="shared" si="32"/>
        <v>-44571</v>
      </c>
      <c r="R100" s="46">
        <f t="shared" ref="R100:R105" si="44">+IF(B100&lt;=$E$18,D100*((1+$E$16)^((C100-C99)/360)-1)+S99*((1+$E$16)^((C100-C99)/360)-0),0)</f>
        <v>0</v>
      </c>
      <c r="S100" s="47">
        <f t="shared" si="42"/>
        <v>0</v>
      </c>
      <c r="AC100" s="39">
        <v>67</v>
      </c>
    </row>
    <row r="101" spans="1:31" hidden="1" x14ac:dyDescent="0.3">
      <c r="B101" s="88">
        <v>68</v>
      </c>
      <c r="C101" s="97">
        <f t="shared" si="43"/>
        <v>0</v>
      </c>
      <c r="D101" s="92">
        <f t="shared" si="33"/>
        <v>0</v>
      </c>
      <c r="E101" s="92">
        <f t="shared" si="31"/>
        <v>0</v>
      </c>
      <c r="F101" s="92">
        <f t="shared" si="34"/>
        <v>0</v>
      </c>
      <c r="G101" s="92">
        <f t="shared" si="35"/>
        <v>0</v>
      </c>
      <c r="H101" s="92">
        <f t="shared" si="39"/>
        <v>0</v>
      </c>
      <c r="I101" s="92">
        <v>0</v>
      </c>
      <c r="J101" s="92">
        <f t="shared" si="40"/>
        <v>0</v>
      </c>
      <c r="K101" s="92">
        <f t="shared" si="36"/>
        <v>0</v>
      </c>
      <c r="L101" s="98">
        <f t="shared" si="41"/>
        <v>0</v>
      </c>
      <c r="N101" s="40">
        <f t="shared" si="37"/>
        <v>0</v>
      </c>
      <c r="O101" s="45">
        <f t="shared" si="38"/>
        <v>1</v>
      </c>
      <c r="P101" s="42">
        <f t="shared" si="32"/>
        <v>-44571</v>
      </c>
      <c r="R101" s="46">
        <f t="shared" si="44"/>
        <v>0</v>
      </c>
      <c r="S101" s="47">
        <f t="shared" si="42"/>
        <v>0</v>
      </c>
      <c r="AC101" s="39">
        <v>68</v>
      </c>
    </row>
    <row r="102" spans="1:31" hidden="1" x14ac:dyDescent="0.3">
      <c r="B102" s="88">
        <v>69</v>
      </c>
      <c r="C102" s="97">
        <f t="shared" si="43"/>
        <v>0</v>
      </c>
      <c r="D102" s="92">
        <f t="shared" si="33"/>
        <v>0</v>
      </c>
      <c r="E102" s="92">
        <f t="shared" si="31"/>
        <v>0</v>
      </c>
      <c r="F102" s="92">
        <f t="shared" si="34"/>
        <v>0</v>
      </c>
      <c r="G102" s="92">
        <f t="shared" si="35"/>
        <v>0</v>
      </c>
      <c r="H102" s="92">
        <f t="shared" si="39"/>
        <v>0</v>
      </c>
      <c r="I102" s="92">
        <v>0</v>
      </c>
      <c r="J102" s="92">
        <f t="shared" si="40"/>
        <v>0</v>
      </c>
      <c r="K102" s="92">
        <f t="shared" si="36"/>
        <v>0</v>
      </c>
      <c r="L102" s="98">
        <f t="shared" si="41"/>
        <v>0</v>
      </c>
      <c r="N102" s="40">
        <f t="shared" si="37"/>
        <v>0</v>
      </c>
      <c r="O102" s="45">
        <f t="shared" si="38"/>
        <v>1</v>
      </c>
      <c r="P102" s="42">
        <f t="shared" si="32"/>
        <v>-44571</v>
      </c>
      <c r="R102" s="46">
        <f t="shared" si="44"/>
        <v>0</v>
      </c>
      <c r="S102" s="47">
        <f t="shared" si="42"/>
        <v>0</v>
      </c>
      <c r="AC102" s="39">
        <v>69</v>
      </c>
    </row>
    <row r="103" spans="1:31" hidden="1" x14ac:dyDescent="0.3">
      <c r="B103" s="88">
        <v>70</v>
      </c>
      <c r="C103" s="97">
        <f t="shared" si="43"/>
        <v>0</v>
      </c>
      <c r="D103" s="92">
        <f t="shared" si="33"/>
        <v>0</v>
      </c>
      <c r="E103" s="92">
        <f t="shared" si="31"/>
        <v>0</v>
      </c>
      <c r="F103" s="92">
        <f t="shared" si="34"/>
        <v>0</v>
      </c>
      <c r="G103" s="92">
        <f t="shared" si="35"/>
        <v>0</v>
      </c>
      <c r="H103" s="92">
        <f t="shared" si="39"/>
        <v>0</v>
      </c>
      <c r="I103" s="92">
        <v>0</v>
      </c>
      <c r="J103" s="92">
        <f t="shared" si="40"/>
        <v>0</v>
      </c>
      <c r="K103" s="92">
        <f t="shared" si="36"/>
        <v>0</v>
      </c>
      <c r="L103" s="98">
        <f t="shared" si="41"/>
        <v>0</v>
      </c>
      <c r="N103" s="40">
        <f t="shared" si="37"/>
        <v>0</v>
      </c>
      <c r="O103" s="45">
        <f t="shared" si="38"/>
        <v>1</v>
      </c>
      <c r="P103" s="42">
        <f t="shared" si="32"/>
        <v>-44571</v>
      </c>
      <c r="R103" s="46">
        <f t="shared" si="44"/>
        <v>0</v>
      </c>
      <c r="S103" s="47">
        <f t="shared" si="42"/>
        <v>0</v>
      </c>
      <c r="AC103" s="39">
        <v>70</v>
      </c>
    </row>
    <row r="104" spans="1:31" hidden="1" x14ac:dyDescent="0.3">
      <c r="B104" s="88">
        <v>71</v>
      </c>
      <c r="C104" s="97">
        <f t="shared" si="43"/>
        <v>0</v>
      </c>
      <c r="D104" s="92">
        <f t="shared" si="33"/>
        <v>0</v>
      </c>
      <c r="E104" s="92">
        <f t="shared" si="31"/>
        <v>0</v>
      </c>
      <c r="F104" s="92">
        <f t="shared" si="34"/>
        <v>0</v>
      </c>
      <c r="G104" s="92">
        <f t="shared" si="35"/>
        <v>0</v>
      </c>
      <c r="H104" s="92">
        <f t="shared" si="39"/>
        <v>0</v>
      </c>
      <c r="I104" s="92">
        <v>0</v>
      </c>
      <c r="J104" s="92">
        <f t="shared" si="40"/>
        <v>0</v>
      </c>
      <c r="K104" s="92">
        <f t="shared" si="36"/>
        <v>0</v>
      </c>
      <c r="L104" s="98">
        <f t="shared" si="41"/>
        <v>0</v>
      </c>
      <c r="N104" s="40">
        <f t="shared" si="37"/>
        <v>0</v>
      </c>
      <c r="O104" s="45">
        <f t="shared" si="38"/>
        <v>1</v>
      </c>
      <c r="P104" s="42">
        <f t="shared" si="32"/>
        <v>-44571</v>
      </c>
      <c r="R104" s="46">
        <f t="shared" si="44"/>
        <v>0</v>
      </c>
      <c r="S104" s="47">
        <f t="shared" si="42"/>
        <v>0</v>
      </c>
      <c r="AC104" s="39">
        <v>71</v>
      </c>
    </row>
    <row r="105" spans="1:31" ht="13.5" hidden="1" thickBot="1" x14ac:dyDescent="0.35">
      <c r="B105" s="99">
        <v>72</v>
      </c>
      <c r="C105" s="100">
        <f t="shared" si="43"/>
        <v>0</v>
      </c>
      <c r="D105" s="101">
        <f t="shared" si="33"/>
        <v>0</v>
      </c>
      <c r="E105" s="101">
        <f t="shared" si="31"/>
        <v>0</v>
      </c>
      <c r="F105" s="101">
        <f t="shared" si="34"/>
        <v>0</v>
      </c>
      <c r="G105" s="101">
        <f t="shared" si="35"/>
        <v>0</v>
      </c>
      <c r="H105" s="92">
        <f t="shared" si="39"/>
        <v>0</v>
      </c>
      <c r="I105" s="92">
        <v>0</v>
      </c>
      <c r="J105" s="101">
        <f t="shared" si="40"/>
        <v>0</v>
      </c>
      <c r="K105" s="101">
        <f t="shared" si="36"/>
        <v>0</v>
      </c>
      <c r="L105" s="102">
        <f t="shared" si="41"/>
        <v>0</v>
      </c>
      <c r="N105" s="40">
        <f t="shared" si="37"/>
        <v>0</v>
      </c>
      <c r="O105" s="45">
        <f t="shared" si="38"/>
        <v>1</v>
      </c>
      <c r="P105" s="42">
        <f t="shared" si="32"/>
        <v>-44571</v>
      </c>
      <c r="R105" s="46">
        <f t="shared" si="44"/>
        <v>0</v>
      </c>
      <c r="S105" s="47">
        <f t="shared" si="42"/>
        <v>0</v>
      </c>
      <c r="AC105" s="49">
        <v>72</v>
      </c>
    </row>
    <row r="106" spans="1:31" x14ac:dyDescent="0.3">
      <c r="B106" s="103" t="s">
        <v>52</v>
      </c>
      <c r="C106" s="103"/>
      <c r="D106" s="104">
        <f>SUM(D34:D81)</f>
        <v>68303.720000000016</v>
      </c>
      <c r="E106" s="104">
        <f t="shared" ref="E106:L106" si="45">SUM(E34:E81)</f>
        <v>63303.720000000016</v>
      </c>
      <c r="F106" s="104">
        <f t="shared" si="45"/>
        <v>5000</v>
      </c>
      <c r="G106" s="104">
        <f t="shared" si="45"/>
        <v>1716.7200000000003</v>
      </c>
      <c r="H106" s="104">
        <f t="shared" si="45"/>
        <v>86.089999999999989</v>
      </c>
      <c r="I106" s="104">
        <f t="shared" si="45"/>
        <v>0</v>
      </c>
      <c r="J106" s="104">
        <f t="shared" si="45"/>
        <v>6802.8099999999995</v>
      </c>
      <c r="K106" s="104">
        <f t="shared" si="45"/>
        <v>240</v>
      </c>
      <c r="L106" s="104">
        <f t="shared" si="45"/>
        <v>7042.81</v>
      </c>
      <c r="O106" s="45"/>
      <c r="AC106" s="18"/>
      <c r="AD106" s="43">
        <f>IF(DAY(EOMONTH(C105,1))&lt;$G$10,DATE(YEAR(C105),MONTH(C105)+2,0),DATE(YEAR(C105),MONTH(C105)+1,DAY($G$10)))</f>
        <v>33</v>
      </c>
      <c r="AE106" s="43">
        <f t="shared" ref="AE106:AE107" si="46">AE105+30</f>
        <v>30</v>
      </c>
    </row>
    <row r="107" spans="1:31" hidden="1" x14ac:dyDescent="0.3">
      <c r="E107" s="16"/>
      <c r="H107" s="15"/>
      <c r="AD107" s="43">
        <f>IF(DAY(EOMONTH(C106,1))&lt;$G$10,DATE(YEAR(C106),MONTH(C106)+2,0),DATE(YEAR(C106),MONTH(C106)+1,DAY($G$10)))</f>
        <v>33</v>
      </c>
      <c r="AE107" s="43">
        <f t="shared" si="46"/>
        <v>60</v>
      </c>
    </row>
    <row r="108" spans="1:31" x14ac:dyDescent="0.3">
      <c r="E108" s="16"/>
      <c r="H108" s="15"/>
      <c r="AD108" s="43"/>
      <c r="AE108" s="43"/>
    </row>
    <row r="109" spans="1:31" ht="15.5" x14ac:dyDescent="0.35">
      <c r="A109" s="59"/>
      <c r="B109" s="61" t="s">
        <v>66</v>
      </c>
      <c r="C109" s="59"/>
      <c r="D109" s="59"/>
      <c r="E109" s="60"/>
      <c r="F109" s="59"/>
      <c r="G109" s="59"/>
      <c r="H109" s="59"/>
      <c r="I109" s="59"/>
      <c r="J109" s="59"/>
      <c r="K109" s="59"/>
      <c r="L109" s="60"/>
      <c r="M109" s="59"/>
      <c r="AD109" s="43"/>
      <c r="AE109" s="43"/>
    </row>
    <row r="110" spans="1:31" ht="8.25" customHeight="1" x14ac:dyDescent="0.35">
      <c r="A110" s="59"/>
      <c r="B110" s="61"/>
      <c r="C110" s="59"/>
      <c r="D110" s="59"/>
      <c r="E110" s="60"/>
      <c r="F110" s="59"/>
      <c r="G110" s="59"/>
      <c r="H110" s="59"/>
      <c r="I110" s="59"/>
      <c r="J110" s="59"/>
      <c r="K110" s="59"/>
      <c r="L110" s="60"/>
      <c r="M110" s="59"/>
      <c r="AD110" s="43"/>
      <c r="AE110" s="43"/>
    </row>
    <row r="111" spans="1:31" ht="20.25" customHeight="1" x14ac:dyDescent="0.3">
      <c r="A111" s="59"/>
      <c r="B111" s="138" t="s">
        <v>67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60"/>
      <c r="M111" s="59"/>
      <c r="AD111" s="43"/>
      <c r="AE111" s="43"/>
    </row>
    <row r="112" spans="1:31" ht="45.75" customHeight="1" x14ac:dyDescent="0.3">
      <c r="A112" s="59"/>
      <c r="B112" s="141" t="s">
        <v>68</v>
      </c>
      <c r="C112" s="141"/>
      <c r="D112" s="141"/>
      <c r="E112" s="141"/>
      <c r="F112" s="141"/>
      <c r="G112" s="141"/>
      <c r="H112" s="141"/>
      <c r="I112" s="141"/>
      <c r="J112" s="141"/>
      <c r="K112" s="141"/>
      <c r="L112" s="142"/>
      <c r="M112" s="59"/>
      <c r="AD112" s="43"/>
      <c r="AE112" s="43"/>
    </row>
    <row r="113" spans="1:31" ht="41.25" customHeight="1" x14ac:dyDescent="0.3">
      <c r="A113" s="59"/>
      <c r="B113" s="139" t="s">
        <v>76</v>
      </c>
      <c r="C113" s="140"/>
      <c r="D113" s="140"/>
      <c r="E113" s="140"/>
      <c r="F113" s="140"/>
      <c r="G113" s="140"/>
      <c r="H113" s="140"/>
      <c r="I113" s="140"/>
      <c r="J113" s="140"/>
      <c r="K113" s="140"/>
      <c r="L113" s="142"/>
      <c r="M113" s="59"/>
      <c r="AD113" s="43"/>
      <c r="AE113" s="43"/>
    </row>
    <row r="114" spans="1:31" ht="41.25" customHeight="1" x14ac:dyDescent="0.3">
      <c r="A114" s="59"/>
      <c r="B114" s="139" t="s">
        <v>77</v>
      </c>
      <c r="C114" s="140"/>
      <c r="D114" s="140"/>
      <c r="E114" s="140"/>
      <c r="F114" s="140"/>
      <c r="G114" s="140"/>
      <c r="H114" s="140"/>
      <c r="I114" s="140"/>
      <c r="J114" s="140"/>
      <c r="K114" s="140"/>
      <c r="L114" s="142"/>
      <c r="M114" s="59"/>
      <c r="AD114" s="43"/>
      <c r="AE114" s="43"/>
    </row>
    <row r="115" spans="1:31" ht="30.75" customHeight="1" x14ac:dyDescent="0.3">
      <c r="A115" s="59"/>
      <c r="B115" s="139" t="s">
        <v>70</v>
      </c>
      <c r="C115" s="140"/>
      <c r="D115" s="140"/>
      <c r="E115" s="140"/>
      <c r="F115" s="140"/>
      <c r="G115" s="140"/>
      <c r="H115" s="140"/>
      <c r="I115" s="140"/>
      <c r="J115" s="140"/>
      <c r="K115" s="140"/>
      <c r="L115" s="60"/>
      <c r="M115" s="59"/>
      <c r="AD115" s="43"/>
      <c r="AE115" s="43"/>
    </row>
    <row r="116" spans="1:31" x14ac:dyDescent="0.3"/>
  </sheetData>
  <sheetProtection algorithmName="SHA-512" hashValue="7tpQK+FlQSMT+2RVymYBj9JrRfZj4pK8Xj/RT3Q0A3h9GI9Av6O4lrm1NmUTtxGXV++09ICxSSNBaVpaLRVs5g==" saltValue="oW4eNdatkZ0bN8qcbDVPMg==" spinCount="100000" sheet="1" objects="1" scenarios="1" selectLockedCells="1"/>
  <mergeCells count="24">
    <mergeCell ref="B6:L6"/>
    <mergeCell ref="B8:D8"/>
    <mergeCell ref="B9:D9"/>
    <mergeCell ref="B10:D10"/>
    <mergeCell ref="B19:D19"/>
    <mergeCell ref="B18:D18"/>
    <mergeCell ref="B12:D12"/>
    <mergeCell ref="B15:D15"/>
    <mergeCell ref="B16:D16"/>
    <mergeCell ref="B17:D17"/>
    <mergeCell ref="B13:D13"/>
    <mergeCell ref="B14:D14"/>
    <mergeCell ref="B22:D22"/>
    <mergeCell ref="B21:D21"/>
    <mergeCell ref="V31:W31"/>
    <mergeCell ref="B20:D20"/>
    <mergeCell ref="D32:E32"/>
    <mergeCell ref="B28:D28"/>
    <mergeCell ref="H31:I31"/>
    <mergeCell ref="B111:K111"/>
    <mergeCell ref="B115:K115"/>
    <mergeCell ref="B112:L112"/>
    <mergeCell ref="B113:L113"/>
    <mergeCell ref="B114:L114"/>
  </mergeCells>
  <phoneticPr fontId="0" type="noConversion"/>
  <conditionalFormatting sqref="F10:G10">
    <cfRule type="expression" dxfId="1" priority="2" stopIfTrue="1">
      <formula>$E$10="Año Base 360"</formula>
    </cfRule>
  </conditionalFormatting>
  <conditionalFormatting sqref="E11">
    <cfRule type="expression" dxfId="0" priority="1" stopIfTrue="1">
      <formula>$E$10="Año Base 360"</formula>
    </cfRule>
  </conditionalFormatting>
  <dataValidations count="9">
    <dataValidation type="list" allowBlank="1" showInputMessage="1" showErrorMessage="1" sqref="E8">
      <formula1>"Soles,Dólares"</formula1>
    </dataValidation>
    <dataValidation type="list" allowBlank="1" showInputMessage="1" showErrorMessage="1" sqref="E10">
      <formula1>"Año Base 360,Días Calendario"</formula1>
    </dataValidation>
    <dataValidation allowBlank="1" showInputMessage="1" showErrorMessage="1" errorTitle="Monto Solicitado" error="El monto solicitado no puede exceder a S/. 66,000 o US$ 22,000" sqref="E9"/>
    <dataValidation type="whole" allowBlank="1" showInputMessage="1" showErrorMessage="1" errorTitle="Plazo del Préstamo" error="El máximo plazo establecido es hasta 36 meses." sqref="E18">
      <formula1>0</formula1>
      <formula2>36</formula2>
    </dataValidation>
    <dataValidation type="whole" allowBlank="1" showInputMessage="1" showErrorMessage="1" errorTitle="Plazo de Gracia" error="El máximo plazo establecido es hasta 6 meses." sqref="E13">
      <formula1>0</formula1>
      <formula2>6</formula2>
    </dataValidation>
    <dataValidation type="list" allowBlank="1" showInputMessage="1" showErrorMessage="1" errorTitle="Plazo de Gracia" error="El máximo plazo establecido es hasta 6 meses." sqref="E14">
      <formula1>"Si,No"</formula1>
    </dataValidation>
    <dataValidation type="list" allowBlank="1" showInputMessage="1" showErrorMessage="1" sqref="E20">
      <formula1>$Q$28:$Q$29</formula1>
    </dataValidation>
    <dataValidation type="list" allowBlank="1" showInputMessage="1" showErrorMessage="1" sqref="G10:G11">
      <formula1>$S$4:$S$6</formula1>
    </dataValidation>
    <dataValidation type="list" allowBlank="1" showInputMessage="1" showErrorMessage="1" sqref="E23">
      <formula1>$O$10:$O$12</formula1>
    </dataValidation>
  </dataValidations>
  <pageMargins left="0.74803149606299213" right="0.74803149606299213" top="0.98425196850393704" bottom="0.98425196850393704" header="0" footer="0"/>
  <pageSetup paperSize="9" scale="60" orientation="portrait" horizontalDpi="4294967294" verticalDpi="4294967294" r:id="rId1"/>
  <headerFooter alignWithMargins="0"/>
  <colBreaks count="1" manualBreakCount="1">
    <brk id="13" min="4" max="9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7:J52"/>
  <sheetViews>
    <sheetView topLeftCell="A17" workbookViewId="0">
      <selection activeCell="C34" sqref="C34"/>
    </sheetView>
  </sheetViews>
  <sheetFormatPr baseColWidth="10" defaultRowHeight="12.5" x14ac:dyDescent="0.25"/>
  <cols>
    <col min="1" max="1" width="3.1796875" customWidth="1" collapsed="1"/>
  </cols>
  <sheetData>
    <row r="7" spans="2:10" ht="13" thickBot="1" x14ac:dyDescent="0.3"/>
    <row r="8" spans="2:10" s="5" customFormat="1" ht="25" customHeight="1" thickBot="1" x14ac:dyDescent="0.4">
      <c r="B8" s="2" t="s">
        <v>31</v>
      </c>
      <c r="C8" s="3"/>
      <c r="D8" s="3"/>
      <c r="E8" s="3"/>
      <c r="F8" s="3"/>
      <c r="G8" s="3"/>
      <c r="H8" s="3"/>
      <c r="I8" s="3"/>
      <c r="J8" s="4"/>
    </row>
    <row r="12" spans="2:10" ht="13" x14ac:dyDescent="0.3">
      <c r="B12" t="s">
        <v>3</v>
      </c>
      <c r="F12" t="s">
        <v>29</v>
      </c>
    </row>
    <row r="19" spans="2:5" ht="13" x14ac:dyDescent="0.3">
      <c r="B19" t="s">
        <v>5</v>
      </c>
    </row>
    <row r="24" spans="2:5" x14ac:dyDescent="0.25">
      <c r="B24" t="s">
        <v>7</v>
      </c>
    </row>
    <row r="30" spans="2:5" ht="13" x14ac:dyDescent="0.3">
      <c r="B30" t="s">
        <v>4</v>
      </c>
      <c r="E30" t="s">
        <v>11</v>
      </c>
    </row>
    <row r="36" spans="2:9" ht="13" x14ac:dyDescent="0.3">
      <c r="B36" t="s">
        <v>6</v>
      </c>
      <c r="E36" t="s">
        <v>9</v>
      </c>
    </row>
    <row r="37" spans="2:9" x14ac:dyDescent="0.25">
      <c r="B37" t="s">
        <v>12</v>
      </c>
    </row>
    <row r="42" spans="2:9" ht="13" x14ac:dyDescent="0.3">
      <c r="B42" s="1" t="s">
        <v>24</v>
      </c>
    </row>
    <row r="43" spans="2:9" x14ac:dyDescent="0.25">
      <c r="B43" s="6"/>
      <c r="C43" s="7"/>
      <c r="D43" s="7"/>
      <c r="E43" s="7"/>
      <c r="F43" s="7"/>
      <c r="G43" s="7"/>
      <c r="H43" s="7"/>
      <c r="I43" s="8"/>
    </row>
    <row r="44" spans="2:9" x14ac:dyDescent="0.25">
      <c r="B44" s="9"/>
      <c r="C44" s="10" t="s">
        <v>16</v>
      </c>
      <c r="D44" s="10"/>
      <c r="E44" s="10"/>
      <c r="F44" s="10" t="s">
        <v>32</v>
      </c>
      <c r="G44" s="10"/>
      <c r="H44" s="10"/>
      <c r="I44" s="11"/>
    </row>
    <row r="45" spans="2:9" x14ac:dyDescent="0.25">
      <c r="B45" s="9"/>
      <c r="C45" s="10" t="s">
        <v>17</v>
      </c>
      <c r="D45" s="10"/>
      <c r="E45" s="10"/>
      <c r="F45" s="10" t="s">
        <v>23</v>
      </c>
      <c r="G45" s="10"/>
      <c r="H45" s="10"/>
      <c r="I45" s="11"/>
    </row>
    <row r="46" spans="2:9" x14ac:dyDescent="0.25">
      <c r="B46" s="9"/>
      <c r="C46" s="10" t="s">
        <v>33</v>
      </c>
      <c r="D46" s="10"/>
      <c r="E46" s="10"/>
      <c r="F46" s="10" t="s">
        <v>10</v>
      </c>
      <c r="G46" s="10"/>
      <c r="H46" s="10"/>
      <c r="I46" s="11"/>
    </row>
    <row r="47" spans="2:9" x14ac:dyDescent="0.25">
      <c r="B47" s="9"/>
      <c r="C47" s="10" t="s">
        <v>19</v>
      </c>
      <c r="D47" s="10"/>
      <c r="E47" s="10"/>
      <c r="F47" s="10" t="s">
        <v>8</v>
      </c>
      <c r="G47" s="10"/>
      <c r="H47" s="10"/>
      <c r="I47" s="11"/>
    </row>
    <row r="48" spans="2:9" x14ac:dyDescent="0.25">
      <c r="B48" s="9"/>
      <c r="C48" s="10" t="s">
        <v>20</v>
      </c>
      <c r="D48" s="10"/>
      <c r="E48" s="10"/>
      <c r="F48" s="10" t="s">
        <v>25</v>
      </c>
      <c r="G48" s="10"/>
      <c r="H48" s="10"/>
      <c r="I48" s="11"/>
    </row>
    <row r="49" spans="2:9" x14ac:dyDescent="0.25">
      <c r="B49" s="9"/>
      <c r="C49" s="10" t="s">
        <v>18</v>
      </c>
      <c r="D49" s="10"/>
      <c r="E49" s="10"/>
      <c r="F49" s="10" t="s">
        <v>30</v>
      </c>
      <c r="G49" s="10"/>
      <c r="H49" s="10"/>
      <c r="I49" s="11"/>
    </row>
    <row r="50" spans="2:9" x14ac:dyDescent="0.25">
      <c r="B50" s="9"/>
      <c r="C50" s="10" t="s">
        <v>21</v>
      </c>
      <c r="D50" s="10"/>
      <c r="E50" s="10"/>
      <c r="F50" s="10"/>
      <c r="G50" s="10"/>
      <c r="H50" s="10"/>
      <c r="I50" s="11"/>
    </row>
    <row r="51" spans="2:9" x14ac:dyDescent="0.25">
      <c r="B51" s="9"/>
      <c r="C51" s="10" t="s">
        <v>22</v>
      </c>
      <c r="D51" s="10"/>
      <c r="E51" s="10"/>
      <c r="F51" s="10"/>
      <c r="G51" s="10"/>
      <c r="H51" s="10"/>
      <c r="I51" s="11"/>
    </row>
    <row r="52" spans="2:9" x14ac:dyDescent="0.25">
      <c r="B52" s="12"/>
      <c r="C52" s="13"/>
      <c r="D52" s="13"/>
      <c r="E52" s="13"/>
      <c r="F52" s="13"/>
      <c r="G52" s="13"/>
      <c r="H52" s="13"/>
      <c r="I52" s="14"/>
    </row>
  </sheetData>
  <phoneticPr fontId="0" type="noConversion"/>
  <printOptions horizontalCentered="1"/>
  <pageMargins left="0.78740157480314965" right="0.78740157480314965" top="0.98425196850393704" bottom="0.98425196850393704" header="0" footer="0"/>
  <pageSetup paperSize="9" scale="7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</xdr:col>
                <xdr:colOff>146050</xdr:colOff>
                <xdr:row>12</xdr:row>
                <xdr:rowOff>69850</xdr:rowOff>
              </from>
              <to>
                <xdr:col>4</xdr:col>
                <xdr:colOff>31750</xdr:colOff>
                <xdr:row>16</xdr:row>
                <xdr:rowOff>127000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1</xdr:col>
                <xdr:colOff>88900</xdr:colOff>
                <xdr:row>24</xdr:row>
                <xdr:rowOff>50800</xdr:rowOff>
              </from>
              <to>
                <xdr:col>3</xdr:col>
                <xdr:colOff>488950</xdr:colOff>
                <xdr:row>28</xdr:row>
                <xdr:rowOff>12700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4</xdr:col>
                <xdr:colOff>69850</xdr:colOff>
                <xdr:row>24</xdr:row>
                <xdr:rowOff>107950</xdr:rowOff>
              </from>
              <to>
                <xdr:col>6</xdr:col>
                <xdr:colOff>717550</xdr:colOff>
                <xdr:row>28</xdr:row>
                <xdr:rowOff>69850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6" r:id="rId10">
          <objectPr defaultSize="0" r:id="rId11">
            <anchor moveWithCells="1" sizeWithCells="1">
              <from>
                <xdr:col>1</xdr:col>
                <xdr:colOff>107950</xdr:colOff>
                <xdr:row>30</xdr:row>
                <xdr:rowOff>146050</xdr:rowOff>
              </from>
              <to>
                <xdr:col>2</xdr:col>
                <xdr:colOff>457200</xdr:colOff>
                <xdr:row>33</xdr:row>
                <xdr:rowOff>31750</xdr:rowOff>
              </to>
            </anchor>
          </objectPr>
        </oleObject>
      </mc:Choice>
      <mc:Fallback>
        <oleObject progId="Equation.3" shapeId="3076" r:id="rId10"/>
      </mc:Fallback>
    </mc:AlternateContent>
    <mc:AlternateContent xmlns:mc="http://schemas.openxmlformats.org/markup-compatibility/2006">
      <mc:Choice Requires="x14">
        <oleObject progId="Equation.3" shapeId="3077" r:id="rId12">
          <objectPr defaultSize="0" autoPict="0" r:id="rId13">
            <anchor moveWithCells="1" sizeWithCells="1">
              <from>
                <xdr:col>1</xdr:col>
                <xdr:colOff>69850</xdr:colOff>
                <xdr:row>37</xdr:row>
                <xdr:rowOff>146050</xdr:rowOff>
              </from>
              <to>
                <xdr:col>2</xdr:col>
                <xdr:colOff>431800</xdr:colOff>
                <xdr:row>40</xdr:row>
                <xdr:rowOff>31750</xdr:rowOff>
              </to>
            </anchor>
          </objectPr>
        </oleObject>
      </mc:Choice>
      <mc:Fallback>
        <oleObject progId="Equation.3" shapeId="3077" r:id="rId12"/>
      </mc:Fallback>
    </mc:AlternateContent>
    <mc:AlternateContent xmlns:mc="http://schemas.openxmlformats.org/markup-compatibility/2006">
      <mc:Choice Requires="x14">
        <oleObject progId="Equation.3" shapeId="3078" r:id="rId14">
          <objectPr defaultSize="0" autoPict="0" r:id="rId15">
            <anchor moveWithCells="1" sizeWithCells="1">
              <from>
                <xdr:col>1</xdr:col>
                <xdr:colOff>107950</xdr:colOff>
                <xdr:row>20</xdr:row>
                <xdr:rowOff>50800</xdr:rowOff>
              </from>
              <to>
                <xdr:col>2</xdr:col>
                <xdr:colOff>717550</xdr:colOff>
                <xdr:row>22</xdr:row>
                <xdr:rowOff>69850</xdr:rowOff>
              </to>
            </anchor>
          </objectPr>
        </oleObject>
      </mc:Choice>
      <mc:Fallback>
        <oleObject progId="Equation.3" shapeId="3078" r:id="rId14"/>
      </mc:Fallback>
    </mc:AlternateContent>
    <mc:AlternateContent xmlns:mc="http://schemas.openxmlformats.org/markup-compatibility/2006">
      <mc:Choice Requires="x14">
        <oleObject progId="Equation.3" shapeId="3079" r:id="rId16">
          <objectPr defaultSize="0" autoPict="0" r:id="rId17">
            <anchor moveWithCells="1" sizeWithCells="1">
              <from>
                <xdr:col>5</xdr:col>
                <xdr:colOff>31750</xdr:colOff>
                <xdr:row>13</xdr:row>
                <xdr:rowOff>0</xdr:rowOff>
              </from>
              <to>
                <xdr:col>7</xdr:col>
                <xdr:colOff>203200</xdr:colOff>
                <xdr:row>16</xdr:row>
                <xdr:rowOff>107950</xdr:rowOff>
              </to>
            </anchor>
          </objectPr>
        </oleObject>
      </mc:Choice>
      <mc:Fallback>
        <oleObject progId="Equation.3" shapeId="3079" r:id="rId16"/>
      </mc:Fallback>
    </mc:AlternateContent>
    <mc:AlternateContent xmlns:mc="http://schemas.openxmlformats.org/markup-compatibility/2006">
      <mc:Choice Requires="x14">
        <oleObject progId="Equation.3" shapeId="3080" r:id="rId18">
          <objectPr defaultSize="0" r:id="rId19">
            <anchor moveWithCells="1" sizeWithCells="1">
              <from>
                <xdr:col>4</xdr:col>
                <xdr:colOff>31750</xdr:colOff>
                <xdr:row>37</xdr:row>
                <xdr:rowOff>127000</xdr:rowOff>
              </from>
              <to>
                <xdr:col>6</xdr:col>
                <xdr:colOff>279400</xdr:colOff>
                <xdr:row>40</xdr:row>
                <xdr:rowOff>12700</xdr:rowOff>
              </to>
            </anchor>
          </objectPr>
        </oleObject>
      </mc:Choice>
      <mc:Fallback>
        <oleObject progId="Equation.3" shapeId="3080" r:id="rId18"/>
      </mc:Fallback>
    </mc:AlternateContent>
    <mc:AlternateContent xmlns:mc="http://schemas.openxmlformats.org/markup-compatibility/2006">
      <mc:Choice Requires="x14">
        <oleObject progId="Equation.3" shapeId="3081" r:id="rId20">
          <objectPr defaultSize="0" r:id="rId21">
            <anchor moveWithCells="1" sizeWithCells="1">
              <from>
                <xdr:col>4</xdr:col>
                <xdr:colOff>31750</xdr:colOff>
                <xdr:row>30</xdr:row>
                <xdr:rowOff>88900</xdr:rowOff>
              </from>
              <to>
                <xdr:col>8</xdr:col>
                <xdr:colOff>755650</xdr:colOff>
                <xdr:row>34</xdr:row>
                <xdr:rowOff>88900</xdr:rowOff>
              </to>
            </anchor>
          </objectPr>
        </oleObject>
      </mc:Choice>
      <mc:Fallback>
        <oleObject progId="Equation.3" shapeId="3081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Simulador</vt:lpstr>
      <vt:lpstr>Formulas</vt:lpstr>
      <vt:lpstr>Formulas!Área_de_impresión</vt:lpstr>
      <vt:lpstr>Simulador!Área_de_impresión</vt:lpstr>
      <vt:lpstr>EnvioFisico</vt:lpstr>
    </vt:vector>
  </TitlesOfParts>
  <Company>Banco de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LNunez</dc:creator>
  <cp:lastModifiedBy>Kenneth Anderson Espinoza Villalva</cp:lastModifiedBy>
  <cp:lastPrinted>2019-06-12T15:55:48Z</cp:lastPrinted>
  <dcterms:created xsi:type="dcterms:W3CDTF">2006-06-27T20:09:38Z</dcterms:created>
  <dcterms:modified xsi:type="dcterms:W3CDTF">2022-12-29T15:27:48Z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etDate">
    <vt:lpwstr>2022-12-29T15:01:44Z</vt:lpwstr>
  </property>
  <property fmtid="{D5CDD505-2E9C-101B-9397-08002B2CF9AE}" pid="4" name="MSIP_Label_41b88ec2-a72b-4523-9e84-0458a1764731_Method">
    <vt:lpwstr>Privileged</vt:lpwstr>
  </property>
  <property fmtid="{D5CDD505-2E9C-101B-9397-08002B2CF9AE}" pid="5" name="MSIP_Label_41b88ec2-a72b-4523-9e84-0458a1764731_Name">
    <vt:lpwstr>Public O365</vt:lpwstr>
  </property>
  <property fmtid="{D5CDD505-2E9C-101B-9397-08002B2CF9AE}" pid="6" name="MSIP_Label_41b88ec2-a72b-4523-9e84-0458a1764731_SiteId">
    <vt:lpwstr>35595a02-4d6d-44ac-99e1-f9ab4cd872db</vt:lpwstr>
  </property>
  <property fmtid="{D5CDD505-2E9C-101B-9397-08002B2CF9AE}" pid="7" name="MSIP_Label_41b88ec2-a72b-4523-9e84-0458a1764731_ActionId">
    <vt:lpwstr>49398f2e-0eba-490c-a9c7-52c8fe788500</vt:lpwstr>
  </property>
  <property fmtid="{D5CDD505-2E9C-101B-9397-08002B2CF9AE}" pid="8" name="MSIP_Label_41b88ec2-a72b-4523-9e84-0458a1764731_ContentBits">
    <vt:lpwstr>0</vt:lpwstr>
  </property>
</Properties>
</file>